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lgemeen\_SALES\Bijbel\Presentaties en communicatie pers\Denemarken Odense 2023\"/>
    </mc:Choice>
  </mc:AlternateContent>
  <xr:revisionPtr revIDLastSave="0" documentId="13_ncr:1_{06D092C3-6A48-4B93-A105-2B66AA13C4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pare" sheetId="6" r:id="rId1"/>
    <sheet name="Graph" sheetId="9" r:id="rId2"/>
    <sheet name="CO2 body coffin" sheetId="4" r:id="rId3"/>
    <sheet name="Staffel" sheetId="7" r:id="rId4"/>
    <sheet name="CO2 Emission grid" sheetId="8" r:id="rId5"/>
    <sheet name="GJtokWH" sheetId="10" r:id="rId6"/>
  </sheets>
  <calcPr calcId="191029"/>
</workbook>
</file>

<file path=xl/calcChain.xml><?xml version="1.0" encoding="utf-8"?>
<calcChain xmlns="http://schemas.openxmlformats.org/spreadsheetml/2006/main">
  <c r="V39" i="9" l="1"/>
  <c r="V38" i="9"/>
  <c r="V37" i="9"/>
  <c r="V36" i="9"/>
  <c r="V35" i="9"/>
  <c r="V34" i="9"/>
  <c r="V33" i="9"/>
  <c r="T26" i="6" l="1"/>
  <c r="T20" i="6"/>
  <c r="D38" i="6" l="1"/>
  <c r="C6" i="6" l="1"/>
  <c r="E10" i="10"/>
  <c r="K9" i="10"/>
  <c r="K13" i="10" s="1"/>
  <c r="E7" i="10"/>
  <c r="E6" i="10"/>
  <c r="E9" i="10" l="1"/>
  <c r="T36" i="9" l="1"/>
  <c r="U34" i="9"/>
  <c r="T34" i="9" s="1"/>
  <c r="U35" i="9"/>
  <c r="T35" i="9" s="1"/>
  <c r="U36" i="9"/>
  <c r="U37" i="9"/>
  <c r="U38" i="9"/>
  <c r="U39" i="9"/>
  <c r="U33" i="9"/>
  <c r="S34" i="9"/>
  <c r="S35" i="9"/>
  <c r="S36" i="9"/>
  <c r="S37" i="9"/>
  <c r="S38" i="9"/>
  <c r="S39" i="9"/>
  <c r="S33" i="9"/>
  <c r="S36" i="6"/>
  <c r="S37" i="6" s="1"/>
  <c r="O37" i="6"/>
  <c r="T38" i="9"/>
  <c r="K33" i="9"/>
  <c r="D33" i="9"/>
  <c r="G33" i="9" s="1"/>
  <c r="N36" i="9"/>
  <c r="M34" i="9"/>
  <c r="M35" i="9"/>
  <c r="M36" i="9"/>
  <c r="M37" i="9"/>
  <c r="M38" i="9"/>
  <c r="M39" i="9"/>
  <c r="M33" i="9"/>
  <c r="K34" i="9"/>
  <c r="K35" i="9"/>
  <c r="K36" i="9"/>
  <c r="K37" i="9"/>
  <c r="K38" i="9"/>
  <c r="K39" i="9"/>
  <c r="D34" i="9"/>
  <c r="D35" i="9"/>
  <c r="D36" i="9"/>
  <c r="D37" i="9"/>
  <c r="D38" i="9"/>
  <c r="D39" i="9"/>
  <c r="T37" i="9" l="1"/>
  <c r="W37" i="9" s="1"/>
  <c r="W36" i="9"/>
  <c r="T39" i="9"/>
  <c r="W39" i="9" s="1"/>
  <c r="T33" i="9"/>
  <c r="W33" i="9" s="1"/>
  <c r="W35" i="9"/>
  <c r="W38" i="9"/>
  <c r="W34" i="9"/>
  <c r="N39" i="9"/>
  <c r="L39" i="9" s="1"/>
  <c r="O39" i="9" s="1"/>
  <c r="N35" i="9"/>
  <c r="L35" i="9" s="1"/>
  <c r="O35" i="9" s="1"/>
  <c r="N38" i="9"/>
  <c r="L38" i="9" s="1"/>
  <c r="O38" i="9" s="1"/>
  <c r="N34" i="9"/>
  <c r="L34" i="9" s="1"/>
  <c r="O34" i="9" s="1"/>
  <c r="N37" i="9"/>
  <c r="L37" i="9" s="1"/>
  <c r="O37" i="9" s="1"/>
  <c r="N33" i="9"/>
  <c r="L33" i="9" s="1"/>
  <c r="O33" i="9" s="1"/>
  <c r="L36" i="9"/>
  <c r="O36" i="9" s="1"/>
  <c r="G39" i="9" l="1"/>
  <c r="G38" i="9"/>
  <c r="G37" i="9"/>
  <c r="G36" i="9"/>
  <c r="G35" i="9"/>
  <c r="G34" i="9"/>
  <c r="G5" i="6"/>
  <c r="K12" i="6" s="1"/>
  <c r="F14" i="6" s="1"/>
  <c r="T19" i="6" s="1"/>
  <c r="R7" i="7"/>
  <c r="R8" i="7"/>
  <c r="R9" i="7"/>
  <c r="R10" i="7"/>
  <c r="R11" i="7"/>
  <c r="R12" i="7"/>
  <c r="R13" i="7"/>
  <c r="R14" i="7"/>
  <c r="R15" i="7"/>
  <c r="R6" i="7"/>
  <c r="O7" i="7"/>
  <c r="O8" i="7"/>
  <c r="O9" i="7"/>
  <c r="O10" i="7"/>
  <c r="O11" i="7"/>
  <c r="O12" i="7"/>
  <c r="O13" i="7"/>
  <c r="O14" i="7"/>
  <c r="O15" i="7"/>
  <c r="O6" i="7"/>
  <c r="G6" i="6"/>
  <c r="K18" i="6"/>
  <c r="O4" i="6"/>
  <c r="T24" i="6" s="1"/>
  <c r="S5" i="6"/>
  <c r="D14" i="6"/>
  <c r="E18" i="4"/>
  <c r="I7" i="4" s="1"/>
  <c r="I8" i="4" s="1"/>
  <c r="L8" i="4" s="1"/>
  <c r="L7" i="4" s="1"/>
  <c r="E13" i="4"/>
  <c r="C7" i="4" s="1"/>
  <c r="C8" i="4" s="1"/>
  <c r="F8" i="4" s="1"/>
  <c r="F7" i="4" s="1"/>
  <c r="P8" i="4" l="1"/>
  <c r="G28" i="6"/>
  <c r="F10" i="6"/>
  <c r="G10" i="6" s="1"/>
  <c r="F11" i="6"/>
  <c r="G11" i="6" s="1"/>
  <c r="C10" i="6"/>
  <c r="D10" i="6" s="1"/>
  <c r="G23" i="6"/>
  <c r="R24" i="6"/>
  <c r="C11" i="6"/>
  <c r="D11" i="6" s="1"/>
  <c r="R14" i="6"/>
  <c r="G14" i="6"/>
  <c r="T21" i="6"/>
  <c r="T29" i="6" s="1"/>
  <c r="F12" i="6" l="1"/>
  <c r="T23" i="6" s="1"/>
  <c r="T25" i="6" s="1"/>
  <c r="G12" i="6"/>
  <c r="G15" i="6" s="1"/>
  <c r="G18" i="6" s="1"/>
  <c r="C12" i="6"/>
  <c r="T30" i="6" l="1"/>
  <c r="T31" i="6" s="1"/>
  <c r="T32" i="6" s="1"/>
  <c r="S38" i="6"/>
  <c r="T27" i="6"/>
  <c r="T34" i="6" s="1"/>
  <c r="R13" i="6"/>
  <c r="R15" i="6" s="1"/>
  <c r="G27" i="6"/>
  <c r="G29" i="6" s="1"/>
  <c r="D12" i="6"/>
  <c r="D15" i="6" s="1"/>
  <c r="R23" i="6"/>
  <c r="R25" i="6" s="1"/>
  <c r="Q13" i="6"/>
  <c r="Q15" i="6" s="1"/>
  <c r="S15" i="6" l="1"/>
  <c r="R30" i="6"/>
  <c r="R31" i="6" s="1"/>
  <c r="R32" i="6" s="1"/>
  <c r="U32" i="6" s="1"/>
  <c r="R27" i="6"/>
  <c r="G19" i="6"/>
  <c r="G22" i="6"/>
  <c r="G24" i="6" s="1"/>
  <c r="G31" i="6" s="1"/>
  <c r="R34" i="6" l="1"/>
  <c r="O38" i="6"/>
</calcChain>
</file>

<file path=xl/sharedStrings.xml><?xml version="1.0" encoding="utf-8"?>
<sst xmlns="http://schemas.openxmlformats.org/spreadsheetml/2006/main" count="258" uniqueCount="135">
  <si>
    <t>DFW 6000</t>
  </si>
  <si>
    <t>DFW6000</t>
  </si>
  <si>
    <t>kWh</t>
  </si>
  <si>
    <t>DFW Electric</t>
  </si>
  <si>
    <t>Elec kWh</t>
  </si>
  <si>
    <t>Electricity price</t>
  </si>
  <si>
    <t>Gas price</t>
  </si>
  <si>
    <t>#cremations/24h</t>
  </si>
  <si>
    <t>During cremation</t>
  </si>
  <si>
    <t>in rest</t>
  </si>
  <si>
    <t>Gas consumption</t>
  </si>
  <si>
    <t>Energy cost per cremation</t>
  </si>
  <si>
    <t>E usage/hr</t>
  </si>
  <si>
    <t>G usage/hr</t>
  </si>
  <si>
    <t>during cremation</t>
  </si>
  <si>
    <t>CO2 emission:</t>
  </si>
  <si>
    <t>Per year</t>
  </si>
  <si>
    <t>cremation days</t>
  </si>
  <si>
    <t>Energy consumption at cremation days</t>
  </si>
  <si>
    <t>Energy consumption when not in use</t>
  </si>
  <si>
    <t>Electricity</t>
  </si>
  <si>
    <t>kg CO2 emitted</t>
  </si>
  <si>
    <t>saving per cremation day</t>
  </si>
  <si>
    <t>kg</t>
  </si>
  <si>
    <t>The body</t>
  </si>
  <si>
    <t>The coffin</t>
  </si>
  <si>
    <t>The body and coffin</t>
  </si>
  <si>
    <t>Molecular weight C</t>
  </si>
  <si>
    <t>gram/mol</t>
  </si>
  <si>
    <t>Total</t>
  </si>
  <si>
    <t>Molecular weight CO2</t>
  </si>
  <si>
    <t>Amount C</t>
  </si>
  <si>
    <t>Kg</t>
  </si>
  <si>
    <t>Mol</t>
  </si>
  <si>
    <t>Weight person</t>
  </si>
  <si>
    <t>Carbon</t>
  </si>
  <si>
    <t>m³</t>
  </si>
  <si>
    <t>gas m³</t>
  </si>
  <si>
    <r>
      <t>kg CO</t>
    </r>
    <r>
      <rPr>
        <vertAlign val="subscript"/>
        <sz val="12"/>
        <rFont val="Palatino Linotype"/>
        <family val="1"/>
      </rPr>
      <t>2</t>
    </r>
    <r>
      <rPr>
        <sz val="10"/>
        <rFont val="Palatino Linotype"/>
        <family val="1"/>
      </rPr>
      <t>/kWh</t>
    </r>
  </si>
  <si>
    <t>cremation</t>
  </si>
  <si>
    <t>cremations</t>
  </si>
  <si>
    <t>cremations per year</t>
  </si>
  <si>
    <t>DFW Electric - Costs per year</t>
  </si>
  <si>
    <t>DFW 6000 - Costs per year</t>
  </si>
  <si>
    <t>Carbon footprint</t>
  </si>
  <si>
    <t>Crem Time</t>
  </si>
  <si>
    <t>Information from internet</t>
  </si>
  <si>
    <r>
      <t>kg CO</t>
    </r>
    <r>
      <rPr>
        <vertAlign val="subscript"/>
        <sz val="12"/>
        <rFont val="Palatino Linotype"/>
        <family val="1"/>
      </rPr>
      <t>2</t>
    </r>
    <r>
      <rPr>
        <sz val="10"/>
        <rFont val="Palatino Linotype"/>
        <family val="1"/>
      </rPr>
      <t>/m³</t>
    </r>
  </si>
  <si>
    <t>days not in use</t>
  </si>
  <si>
    <t>min</t>
  </si>
  <si>
    <t>m³ per cremation</t>
  </si>
  <si>
    <t>In rest</t>
  </si>
  <si>
    <t>Electricity consumption (kWh)</t>
  </si>
  <si>
    <t>Total per 24h</t>
  </si>
  <si>
    <r>
      <t>kg CO</t>
    </r>
    <r>
      <rPr>
        <b/>
        <vertAlign val="subscript"/>
        <sz val="10"/>
        <rFont val="Palatino Linotype"/>
        <family val="1"/>
      </rPr>
      <t xml:space="preserve">2 </t>
    </r>
    <r>
      <rPr>
        <b/>
        <sz val="10"/>
        <rFont val="Palatino Linotype"/>
        <family val="1"/>
      </rPr>
      <t>per cremation</t>
    </r>
  </si>
  <si>
    <t>Gas</t>
  </si>
  <si>
    <t>Cremation time gas hr</t>
  </si>
  <si>
    <t>Cremation time electric hr</t>
  </si>
  <si>
    <t>Total Electricity (kWh)</t>
  </si>
  <si>
    <t>Total per year (kg)</t>
  </si>
  <si>
    <t>Total Gas (m³)</t>
  </si>
  <si>
    <r>
      <t>Amount CO</t>
    </r>
    <r>
      <rPr>
        <b/>
        <vertAlign val="subscript"/>
        <sz val="11"/>
        <color theme="1"/>
        <rFont val="Palatino Linotype"/>
        <family val="1"/>
      </rPr>
      <t>2</t>
    </r>
  </si>
  <si>
    <r>
      <t>Amount CO</t>
    </r>
    <r>
      <rPr>
        <b/>
        <vertAlign val="subscript"/>
        <sz val="12"/>
        <color theme="1"/>
        <rFont val="Palatino Linotype"/>
        <family val="1"/>
      </rPr>
      <t>2</t>
    </r>
  </si>
  <si>
    <t>Weight wooden coffin</t>
  </si>
  <si>
    <r>
      <t>CO</t>
    </r>
    <r>
      <rPr>
        <b/>
        <vertAlign val="subscript"/>
        <sz val="11"/>
        <color theme="1"/>
        <rFont val="Palatino Linotype"/>
        <family val="1"/>
      </rPr>
      <t>2</t>
    </r>
  </si>
  <si>
    <t>Comparison energy consumption DFW6000 en DFW Electric</t>
  </si>
  <si>
    <t>gas kWh</t>
  </si>
  <si>
    <t>Energy consumption of gas</t>
  </si>
  <si>
    <t>Gas kWh</t>
  </si>
  <si>
    <t>Total Energy consumption</t>
  </si>
  <si>
    <t>Elec + gas kWh</t>
  </si>
  <si>
    <r>
      <t>CO</t>
    </r>
    <r>
      <rPr>
        <vertAlign val="subscript"/>
        <sz val="12"/>
        <rFont val="Palatino Linotype"/>
        <family val="1"/>
      </rPr>
      <t>2</t>
    </r>
    <r>
      <rPr>
        <sz val="10"/>
        <rFont val="Palatino Linotype"/>
        <family val="1"/>
      </rPr>
      <t xml:space="preserve"> gas (kg)</t>
    </r>
  </si>
  <si>
    <r>
      <t>CO</t>
    </r>
    <r>
      <rPr>
        <vertAlign val="subscript"/>
        <sz val="12"/>
        <rFont val="Palatino Linotype"/>
        <family val="1"/>
      </rPr>
      <t>2</t>
    </r>
    <r>
      <rPr>
        <sz val="10"/>
        <rFont val="Palatino Linotype"/>
        <family val="1"/>
      </rPr>
      <t xml:space="preserve"> elec (kg)</t>
    </r>
  </si>
  <si>
    <t>23% is on atomic level. It is 18,5% on molecular level</t>
  </si>
  <si>
    <t>https://assets.publishing.service.gov.uk/government/uploads/system/uploads/attachment_data/file/1049346/2021-ghg-conversion-factors-methodology.pdf</t>
  </si>
  <si>
    <t>CO2 Emission Energy grid</t>
  </si>
  <si>
    <t>Ireland</t>
  </si>
  <si>
    <t>UK</t>
  </si>
  <si>
    <t>gCO2/kWh in 2021</t>
  </si>
  <si>
    <t>Difference in Energy costs</t>
  </si>
  <si>
    <t>https://www.gov.uk/government/publications/greenhouse-gas-reporting-conversion-factors-2022</t>
  </si>
  <si>
    <t>Coversion factors full set Tab "UK electricity"</t>
  </si>
  <si>
    <t>Page 38</t>
  </si>
  <si>
    <t>Cremations</t>
  </si>
  <si>
    <t>Cost</t>
  </si>
  <si>
    <t>Energy</t>
  </si>
  <si>
    <t>per day</t>
  </si>
  <si>
    <t>per year</t>
  </si>
  <si>
    <t>reduction</t>
  </si>
  <si>
    <t>Yearly energy consumption</t>
  </si>
  <si>
    <t>Yearly energy costs</t>
  </si>
  <si>
    <t>kWh E</t>
  </si>
  <si>
    <t>kWh G</t>
  </si>
  <si>
    <t>kWh Total</t>
  </si>
  <si>
    <t>€ Electric</t>
  </si>
  <si>
    <t>€ Total</t>
  </si>
  <si>
    <t>€ Gas</t>
  </si>
  <si>
    <t>kWh per cremation</t>
  </si>
  <si>
    <r>
      <t>kg CO</t>
    </r>
    <r>
      <rPr>
        <vertAlign val="subscript"/>
        <sz val="11"/>
        <color theme="1"/>
        <rFont val="Palatino Linotype"/>
        <family val="1"/>
      </rPr>
      <t>2</t>
    </r>
  </si>
  <si>
    <t>kg CO2 Total</t>
  </si>
  <si>
    <t>kg CO2 E</t>
  </si>
  <si>
    <t>kg CO2 G</t>
  </si>
  <si>
    <r>
      <t>CO</t>
    </r>
    <r>
      <rPr>
        <vertAlign val="subscript"/>
        <sz val="11"/>
        <color theme="1"/>
        <rFont val="Palatino Linotype"/>
        <family val="1"/>
      </rPr>
      <t>2</t>
    </r>
  </si>
  <si>
    <t>Wp Solar panel</t>
  </si>
  <si>
    <t>Solar Panels needed</t>
  </si>
  <si>
    <t>Electric</t>
  </si>
  <si>
    <t>kWh energy production per year</t>
  </si>
  <si>
    <t>Netherlands</t>
  </si>
  <si>
    <t>https://klimaatmonitor.databank.nl/content/co2-uitstoot</t>
  </si>
  <si>
    <r>
      <t>Yearly CO</t>
    </r>
    <r>
      <rPr>
        <b/>
        <vertAlign val="subscript"/>
        <sz val="20"/>
        <color theme="1"/>
        <rFont val="Palatino Linotype"/>
        <family val="1"/>
      </rPr>
      <t>2</t>
    </r>
    <r>
      <rPr>
        <b/>
        <sz val="20"/>
        <color theme="1"/>
        <rFont val="Palatino Linotype"/>
        <family val="1"/>
      </rPr>
      <t xml:space="preserve"> footprint based on energy Grid filled in Tab 1</t>
    </r>
  </si>
  <si>
    <t>gCO2/kWh in 2022</t>
  </si>
  <si>
    <t>https://www.statista.com/statistics/1291750/carbon-intensity-power-sector-eu-country/</t>
  </si>
  <si>
    <t>Belgium</t>
  </si>
  <si>
    <t>Denmark</t>
  </si>
  <si>
    <t>Germany</t>
  </si>
  <si>
    <t>Austria</t>
  </si>
  <si>
    <t>Luxembourg</t>
  </si>
  <si>
    <t>Sweden</t>
  </si>
  <si>
    <t>France</t>
  </si>
  <si>
    <t>Italy</t>
  </si>
  <si>
    <t>Portugal</t>
  </si>
  <si>
    <t>Spain</t>
  </si>
  <si>
    <t>Finland</t>
  </si>
  <si>
    <t xml:space="preserve">GJ from </t>
  </si>
  <si>
    <t>m3 natural gas</t>
  </si>
  <si>
    <t>equals</t>
  </si>
  <si>
    <t>GJ</t>
  </si>
  <si>
    <t>is</t>
  </si>
  <si>
    <t>m3</t>
  </si>
  <si>
    <t>kW</t>
  </si>
  <si>
    <t>kWH</t>
  </si>
  <si>
    <t>cost</t>
  </si>
  <si>
    <t>cent</t>
  </si>
  <si>
    <t>https://www.globalpetrolprices.com/natural_gas_prices/</t>
  </si>
  <si>
    <t>https://www.statbank.dk/ENERGI4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</si>
</sst>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_ ;_ [$€-2]\ * \-#,##0_ ;_ [$€-2]\ * &quot;-&quot;??_ ;_ @_ "/>
    <numFmt numFmtId="165" formatCode="0.0"/>
    <numFmt numFmtId="166" formatCode="_ * #,##0_ ;_ * \-#,##0_ ;_ * &quot;-&quot;??_ ;_ @_ "/>
    <numFmt numFmtId="167" formatCode="_ * #,##0.000_ ;_ * \-#,##0.000_ ;_ * &quot;-&quot;??_ ;_ @_ "/>
    <numFmt numFmtId="168" formatCode="_ [$DKK]\ * #,##0.00_ ;_ [$DKK]\ * \-#,##0.00_ ;_ [$DKK]\ * &quot;-&quot;??_ ;_ @_ "/>
    <numFmt numFmtId="169" formatCode="0_ ;\-0\ "/>
  </numFmts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rgb="FFEDAF00"/>
      <name val="Palatino Linotype"/>
      <family val="1"/>
    </font>
    <font>
      <sz val="11"/>
      <color rgb="FFEDAF00"/>
      <name val="Palatino Linotype"/>
      <family val="1"/>
    </font>
    <font>
      <b/>
      <sz val="10"/>
      <color rgb="FFEDAF00"/>
      <name val="Palatino Linotype"/>
      <family val="1"/>
    </font>
    <font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1"/>
      <color rgb="FFEDAF00"/>
      <name val="Palatino Linotype"/>
      <family val="1"/>
    </font>
    <font>
      <vertAlign val="subscript"/>
      <sz val="12"/>
      <name val="Palatino Linotype"/>
      <family val="1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u/>
      <sz val="11"/>
      <color theme="10"/>
      <name val="Palatino Linotype"/>
      <family val="1"/>
    </font>
    <font>
      <b/>
      <sz val="14"/>
      <color rgb="FFEDAF00"/>
      <name val="Palatino Linotype"/>
      <family val="1"/>
    </font>
    <font>
      <sz val="11"/>
      <color theme="0"/>
      <name val="Calibri"/>
      <family val="2"/>
      <scheme val="minor"/>
    </font>
    <font>
      <b/>
      <vertAlign val="subscript"/>
      <sz val="10"/>
      <name val="Palatino Linotype"/>
      <family val="1"/>
    </font>
    <font>
      <b/>
      <vertAlign val="subscript"/>
      <sz val="11"/>
      <color theme="1"/>
      <name val="Palatino Linotype"/>
      <family val="1"/>
    </font>
    <font>
      <b/>
      <vertAlign val="subscript"/>
      <sz val="12"/>
      <color theme="1"/>
      <name val="Palatino Linotype"/>
      <family val="1"/>
    </font>
    <font>
      <u/>
      <sz val="10"/>
      <name val="Palatino Linotype"/>
      <family val="1"/>
    </font>
    <font>
      <b/>
      <sz val="20"/>
      <color theme="1"/>
      <name val="Palatino Linotype"/>
      <family val="1"/>
    </font>
    <font>
      <sz val="16"/>
      <color theme="1"/>
      <name val="Palatino Linotype"/>
      <family val="1"/>
    </font>
    <font>
      <sz val="18"/>
      <color theme="1"/>
      <name val="Palatino Linotype"/>
      <family val="1"/>
    </font>
    <font>
      <b/>
      <vertAlign val="subscript"/>
      <sz val="20"/>
      <color theme="1"/>
      <name val="Palatino Linotype"/>
      <family val="1"/>
    </font>
    <font>
      <vertAlign val="subscript"/>
      <sz val="11"/>
      <color theme="1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D2EB"/>
        <bgColor indexed="64"/>
      </patternFill>
    </fill>
    <fill>
      <patternFill patternType="solid">
        <fgColor rgb="FFEDA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2" borderId="9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1">
    <xf numFmtId="0" fontId="0" fillId="0" borderId="0" xfId="0"/>
    <xf numFmtId="0" fontId="7" fillId="0" borderId="0" xfId="0" applyFont="1"/>
    <xf numFmtId="0" fontId="9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1" fontId="9" fillId="0" borderId="1" xfId="0" applyNumberFormat="1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10" xfId="0" applyFont="1" applyBorder="1"/>
    <xf numFmtId="1" fontId="9" fillId="0" borderId="0" xfId="0" applyNumberFormat="1" applyFont="1"/>
    <xf numFmtId="0" fontId="9" fillId="0" borderId="6" xfId="0" applyFont="1" applyBorder="1"/>
    <xf numFmtId="0" fontId="9" fillId="0" borderId="7" xfId="0" applyFont="1" applyBorder="1"/>
    <xf numFmtId="0" fontId="9" fillId="0" borderId="11" xfId="0" applyFont="1" applyBorder="1"/>
    <xf numFmtId="0" fontId="9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0" xfId="0" applyFont="1" applyBorder="1"/>
    <xf numFmtId="0" fontId="8" fillId="0" borderId="0" xfId="0" applyFont="1"/>
    <xf numFmtId="1" fontId="8" fillId="0" borderId="0" xfId="0" applyNumberFormat="1" applyFont="1"/>
    <xf numFmtId="0" fontId="8" fillId="0" borderId="6" xfId="0" applyFont="1" applyBorder="1"/>
    <xf numFmtId="0" fontId="8" fillId="0" borderId="7" xfId="0" applyFont="1" applyBorder="1"/>
    <xf numFmtId="0" fontId="9" fillId="4" borderId="0" xfId="0" applyFont="1" applyFill="1"/>
    <xf numFmtId="0" fontId="9" fillId="0" borderId="16" xfId="0" applyFont="1" applyBorder="1"/>
    <xf numFmtId="1" fontId="8" fillId="0" borderId="7" xfId="0" applyNumberFormat="1" applyFont="1" applyBorder="1"/>
    <xf numFmtId="0" fontId="8" fillId="0" borderId="11" xfId="0" applyFont="1" applyBorder="1" applyAlignment="1">
      <alignment horizontal="center"/>
    </xf>
    <xf numFmtId="0" fontId="8" fillId="0" borderId="8" xfId="0" applyFont="1" applyBorder="1"/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7" fillId="4" borderId="0" xfId="0" applyFont="1" applyFill="1"/>
    <xf numFmtId="164" fontId="9" fillId="4" borderId="0" xfId="0" applyNumberFormat="1" applyFont="1" applyFill="1"/>
    <xf numFmtId="0" fontId="10" fillId="4" borderId="0" xfId="0" applyFont="1" applyFill="1"/>
    <xf numFmtId="0" fontId="4" fillId="4" borderId="0" xfId="0" applyFont="1" applyFill="1"/>
    <xf numFmtId="0" fontId="4" fillId="3" borderId="2" xfId="0" applyFont="1" applyFill="1" applyBorder="1" applyAlignment="1">
      <alignment horizontal="center"/>
    </xf>
    <xf numFmtId="0" fontId="12" fillId="4" borderId="0" xfId="0" applyFont="1" applyFill="1"/>
    <xf numFmtId="0" fontId="12" fillId="4" borderId="4" xfId="0" applyFont="1" applyFill="1" applyBorder="1"/>
    <xf numFmtId="0" fontId="12" fillId="4" borderId="5" xfId="0" applyFont="1" applyFill="1" applyBorder="1"/>
    <xf numFmtId="0" fontId="12" fillId="4" borderId="3" xfId="0" applyFont="1" applyFill="1" applyBorder="1"/>
    <xf numFmtId="0" fontId="12" fillId="4" borderId="11" xfId="0" applyFont="1" applyFill="1" applyBorder="1"/>
    <xf numFmtId="0" fontId="12" fillId="4" borderId="10" xfId="0" applyFont="1" applyFill="1" applyBorder="1"/>
    <xf numFmtId="0" fontId="12" fillId="4" borderId="6" xfId="0" applyFont="1" applyFill="1" applyBorder="1"/>
    <xf numFmtId="0" fontId="12" fillId="4" borderId="7" xfId="0" applyFont="1" applyFill="1" applyBorder="1"/>
    <xf numFmtId="0" fontId="14" fillId="4" borderId="6" xfId="0" applyFont="1" applyFill="1" applyBorder="1"/>
    <xf numFmtId="0" fontId="14" fillId="4" borderId="7" xfId="0" applyFont="1" applyFill="1" applyBorder="1"/>
    <xf numFmtId="0" fontId="12" fillId="4" borderId="8" xfId="0" applyFont="1" applyFill="1" applyBorder="1"/>
    <xf numFmtId="0" fontId="15" fillId="4" borderId="0" xfId="1" applyFont="1" applyFill="1"/>
    <xf numFmtId="9" fontId="12" fillId="4" borderId="6" xfId="0" applyNumberFormat="1" applyFont="1" applyFill="1" applyBorder="1"/>
    <xf numFmtId="0" fontId="12" fillId="5" borderId="4" xfId="0" applyFont="1" applyFill="1" applyBorder="1"/>
    <xf numFmtId="0" fontId="12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3" fillId="4" borderId="10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13" fillId="4" borderId="11" xfId="0" applyFont="1" applyFill="1" applyBorder="1" applyAlignment="1">
      <alignment horizontal="left"/>
    </xf>
    <xf numFmtId="0" fontId="14" fillId="4" borderId="0" xfId="0" applyFont="1" applyFill="1"/>
    <xf numFmtId="0" fontId="14" fillId="4" borderId="11" xfId="0" applyFont="1" applyFill="1" applyBorder="1"/>
    <xf numFmtId="0" fontId="14" fillId="4" borderId="10" xfId="0" applyFont="1" applyFill="1" applyBorder="1"/>
    <xf numFmtId="0" fontId="14" fillId="4" borderId="3" xfId="0" applyFont="1" applyFill="1" applyBorder="1"/>
    <xf numFmtId="0" fontId="5" fillId="4" borderId="0" xfId="0" applyFont="1" applyFill="1"/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5" borderId="17" xfId="2" applyFont="1" applyFill="1" applyBorder="1"/>
    <xf numFmtId="0" fontId="9" fillId="4" borderId="4" xfId="0" applyFont="1" applyFill="1" applyBorder="1"/>
    <xf numFmtId="0" fontId="8" fillId="4" borderId="0" xfId="0" applyFont="1" applyFill="1"/>
    <xf numFmtId="0" fontId="8" fillId="4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2" fillId="5" borderId="18" xfId="2" applyFont="1" applyFill="1" applyBorder="1"/>
    <xf numFmtId="0" fontId="8" fillId="0" borderId="19" xfId="0" applyFont="1" applyBorder="1"/>
    <xf numFmtId="0" fontId="0" fillId="4" borderId="0" xfId="0" applyFill="1"/>
    <xf numFmtId="0" fontId="17" fillId="4" borderId="0" xfId="0" applyFont="1" applyFill="1"/>
    <xf numFmtId="0" fontId="0" fillId="4" borderId="3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5" xfId="0" applyFill="1" applyBorder="1"/>
    <xf numFmtId="0" fontId="4" fillId="3" borderId="2" xfId="0" applyFont="1" applyFill="1" applyBorder="1"/>
    <xf numFmtId="0" fontId="0" fillId="4" borderId="2" xfId="0" applyFill="1" applyBorder="1"/>
    <xf numFmtId="0" fontId="0" fillId="5" borderId="2" xfId="0" applyFill="1" applyBorder="1"/>
    <xf numFmtId="165" fontId="7" fillId="0" borderId="11" xfId="0" applyNumberFormat="1" applyFont="1" applyBorder="1"/>
    <xf numFmtId="165" fontId="7" fillId="0" borderId="8" xfId="0" applyNumberFormat="1" applyFont="1" applyBorder="1"/>
    <xf numFmtId="0" fontId="9" fillId="0" borderId="4" xfId="0" applyFont="1" applyBorder="1" applyAlignment="1">
      <alignment horizontal="center"/>
    </xf>
    <xf numFmtId="1" fontId="12" fillId="4" borderId="11" xfId="0" applyNumberFormat="1" applyFont="1" applyFill="1" applyBorder="1"/>
    <xf numFmtId="1" fontId="12" fillId="4" borderId="8" xfId="0" applyNumberFormat="1" applyFont="1" applyFill="1" applyBorder="1"/>
    <xf numFmtId="1" fontId="14" fillId="4" borderId="7" xfId="0" applyNumberFormat="1" applyFont="1" applyFill="1" applyBorder="1"/>
    <xf numFmtId="1" fontId="12" fillId="4" borderId="0" xfId="0" applyNumberFormat="1" applyFont="1" applyFill="1"/>
    <xf numFmtId="1" fontId="12" fillId="4" borderId="7" xfId="0" applyNumberFormat="1" applyFont="1" applyFill="1" applyBorder="1"/>
    <xf numFmtId="0" fontId="1" fillId="4" borderId="0" xfId="1" applyFill="1"/>
    <xf numFmtId="0" fontId="1" fillId="3" borderId="0" xfId="1" applyFill="1" applyBorder="1" applyAlignment="1">
      <alignment horizontal="center"/>
    </xf>
    <xf numFmtId="166" fontId="9" fillId="0" borderId="11" xfId="3" applyNumberFormat="1" applyFont="1" applyFill="1" applyBorder="1"/>
    <xf numFmtId="166" fontId="8" fillId="0" borderId="11" xfId="3" applyNumberFormat="1" applyFont="1" applyFill="1" applyBorder="1"/>
    <xf numFmtId="166" fontId="9" fillId="0" borderId="0" xfId="3" applyNumberFormat="1" applyFont="1" applyFill="1" applyBorder="1"/>
    <xf numFmtId="166" fontId="8" fillId="0" borderId="0" xfId="3" applyNumberFormat="1" applyFont="1" applyFill="1" applyBorder="1"/>
    <xf numFmtId="0" fontId="1" fillId="0" borderId="0" xfId="1"/>
    <xf numFmtId="0" fontId="1" fillId="3" borderId="0" xfId="1" applyFill="1" applyBorder="1" applyAlignment="1">
      <alignment horizontal="left"/>
    </xf>
    <xf numFmtId="0" fontId="12" fillId="6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166" fontId="12" fillId="6" borderId="27" xfId="3" applyNumberFormat="1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1" fontId="24" fillId="4" borderId="27" xfId="0" applyNumberFormat="1" applyFont="1" applyFill="1" applyBorder="1" applyAlignment="1">
      <alignment horizontal="center" vertical="center"/>
    </xf>
    <xf numFmtId="9" fontId="24" fillId="4" borderId="27" xfId="5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4" fillId="7" borderId="23" xfId="0" applyFont="1" applyFill="1" applyBorder="1" applyAlignment="1">
      <alignment horizontal="center" vertical="center"/>
    </xf>
    <xf numFmtId="0" fontId="24" fillId="7" borderId="27" xfId="0" applyFont="1" applyFill="1" applyBorder="1" applyAlignment="1">
      <alignment horizontal="center" vertical="center"/>
    </xf>
    <xf numFmtId="1" fontId="24" fillId="7" borderId="27" xfId="0" applyNumberFormat="1" applyFont="1" applyFill="1" applyBorder="1" applyAlignment="1">
      <alignment horizontal="center" vertical="center"/>
    </xf>
    <xf numFmtId="9" fontId="24" fillId="7" borderId="27" xfId="5" applyFont="1" applyFill="1" applyBorder="1" applyAlignment="1">
      <alignment horizontal="center" vertical="center"/>
    </xf>
    <xf numFmtId="166" fontId="23" fillId="6" borderId="24" xfId="3" applyNumberFormat="1" applyFont="1" applyFill="1" applyBorder="1" applyAlignment="1">
      <alignment vertical="center"/>
    </xf>
    <xf numFmtId="0" fontId="21" fillId="8" borderId="0" xfId="0" applyFont="1" applyFill="1"/>
    <xf numFmtId="0" fontId="8" fillId="8" borderId="0" xfId="0" applyFont="1" applyFill="1" applyAlignment="1">
      <alignment horizontal="left"/>
    </xf>
    <xf numFmtId="166" fontId="8" fillId="8" borderId="0" xfId="3" applyNumberFormat="1" applyFont="1" applyFill="1" applyBorder="1"/>
    <xf numFmtId="166" fontId="8" fillId="8" borderId="11" xfId="3" applyNumberFormat="1" applyFont="1" applyFill="1" applyBorder="1"/>
    <xf numFmtId="0" fontId="8" fillId="8" borderId="7" xfId="0" applyFont="1" applyFill="1" applyBorder="1"/>
    <xf numFmtId="166" fontId="8" fillId="8" borderId="7" xfId="0" applyNumberFormat="1" applyFont="1" applyFill="1" applyBorder="1"/>
    <xf numFmtId="166" fontId="8" fillId="8" borderId="8" xfId="0" applyNumberFormat="1" applyFont="1" applyFill="1" applyBorder="1"/>
    <xf numFmtId="0" fontId="9" fillId="4" borderId="0" xfId="0" applyFont="1" applyFill="1" applyAlignment="1">
      <alignment horizontal="right"/>
    </xf>
    <xf numFmtId="166" fontId="9" fillId="4" borderId="0" xfId="0" applyNumberFormat="1" applyFont="1" applyFill="1" applyAlignment="1">
      <alignment horizontal="right"/>
    </xf>
    <xf numFmtId="1" fontId="9" fillId="4" borderId="0" xfId="0" applyNumberFormat="1" applyFont="1" applyFill="1" applyAlignment="1">
      <alignment horizontal="right"/>
    </xf>
    <xf numFmtId="166" fontId="2" fillId="5" borderId="17" xfId="3" applyNumberFormat="1" applyFont="1" applyFill="1" applyBorder="1" applyAlignment="1">
      <alignment horizontal="right"/>
    </xf>
    <xf numFmtId="167" fontId="2" fillId="5" borderId="17" xfId="3" applyNumberFormat="1" applyFont="1" applyFill="1" applyBorder="1"/>
    <xf numFmtId="0" fontId="0" fillId="7" borderId="0" xfId="0" applyFill="1"/>
    <xf numFmtId="166" fontId="0" fillId="0" borderId="0" xfId="3" applyNumberFormat="1" applyFont="1"/>
    <xf numFmtId="168" fontId="9" fillId="4" borderId="0" xfId="0" applyNumberFormat="1" applyFont="1" applyFill="1"/>
    <xf numFmtId="168" fontId="2" fillId="5" borderId="17" xfId="4" applyNumberFormat="1" applyFont="1" applyFill="1" applyBorder="1"/>
    <xf numFmtId="168" fontId="2" fillId="0" borderId="17" xfId="4" applyNumberFormat="1" applyFont="1" applyFill="1" applyBorder="1"/>
    <xf numFmtId="168" fontId="9" fillId="0" borderId="0" xfId="4" applyNumberFormat="1" applyFont="1"/>
    <xf numFmtId="168" fontId="9" fillId="0" borderId="1" xfId="4" applyNumberFormat="1" applyFont="1" applyBorder="1"/>
    <xf numFmtId="168" fontId="8" fillId="0" borderId="0" xfId="4" applyNumberFormat="1" applyFont="1"/>
    <xf numFmtId="168" fontId="8" fillId="0" borderId="7" xfId="4" applyNumberFormat="1" applyFont="1" applyBorder="1"/>
    <xf numFmtId="168" fontId="9" fillId="0" borderId="11" xfId="4" applyNumberFormat="1" applyFont="1" applyBorder="1"/>
    <xf numFmtId="168" fontId="9" fillId="0" borderId="12" xfId="4" applyNumberFormat="1" applyFont="1" applyBorder="1"/>
    <xf numFmtId="168" fontId="8" fillId="0" borderId="11" xfId="4" applyNumberFormat="1" applyFont="1" applyBorder="1"/>
    <xf numFmtId="168" fontId="8" fillId="0" borderId="8" xfId="4" applyNumberFormat="1" applyFont="1" applyBorder="1"/>
    <xf numFmtId="168" fontId="9" fillId="0" borderId="5" xfId="0" applyNumberFormat="1" applyFont="1" applyBorder="1"/>
    <xf numFmtId="168" fontId="9" fillId="0" borderId="11" xfId="0" applyNumberFormat="1" applyFont="1" applyBorder="1"/>
    <xf numFmtId="168" fontId="8" fillId="0" borderId="8" xfId="0" applyNumberFormat="1" applyFont="1" applyBorder="1"/>
    <xf numFmtId="168" fontId="9" fillId="0" borderId="8" xfId="0" applyNumberFormat="1" applyFont="1" applyBorder="1"/>
    <xf numFmtId="168" fontId="21" fillId="8" borderId="0" xfId="0" applyNumberFormat="1" applyFont="1" applyFill="1"/>
    <xf numFmtId="44" fontId="9" fillId="4" borderId="0" xfId="4" applyFont="1" applyFill="1"/>
    <xf numFmtId="44" fontId="9" fillId="4" borderId="0" xfId="0" applyNumberFormat="1" applyFont="1" applyFill="1"/>
    <xf numFmtId="169" fontId="24" fillId="4" borderId="27" xfId="3" applyNumberFormat="1" applyFont="1" applyFill="1" applyBorder="1" applyAlignment="1">
      <alignment horizontal="center" vertical="center"/>
    </xf>
    <xf numFmtId="169" fontId="24" fillId="7" borderId="27" xfId="3" applyNumberFormat="1" applyFont="1" applyFill="1" applyBorder="1" applyAlignment="1">
      <alignment horizontal="center" vertical="center"/>
    </xf>
    <xf numFmtId="166" fontId="9" fillId="4" borderId="0" xfId="0" applyNumberFormat="1" applyFont="1" applyFill="1"/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166" fontId="24" fillId="6" borderId="24" xfId="3" applyNumberFormat="1" applyFont="1" applyFill="1" applyBorder="1" applyAlignment="1">
      <alignment horizontal="center" vertical="center"/>
    </xf>
    <xf numFmtId="166" fontId="24" fillId="6" borderId="25" xfId="3" applyNumberFormat="1" applyFont="1" applyFill="1" applyBorder="1" applyAlignment="1">
      <alignment horizontal="center" vertical="center"/>
    </xf>
    <xf numFmtId="166" fontId="24" fillId="6" borderId="26" xfId="3" applyNumberFormat="1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</cellXfs>
  <cellStyles count="6">
    <cellStyle name="Hyperlink" xfId="1" builtinId="8"/>
    <cellStyle name="Invoer" xfId="2" builtinId="20"/>
    <cellStyle name="Komma" xfId="3" builtinId="3"/>
    <cellStyle name="Procent" xfId="5" builtinId="5"/>
    <cellStyle name="Standaard" xfId="0" builtinId="0"/>
    <cellStyle name="Valuta" xfId="4" builtinId="4"/>
  </cellStyles>
  <dxfs count="0"/>
  <tableStyles count="0" defaultTableStyle="TableStyleMedium2" defaultPivotStyle="PivotStyleLight16"/>
  <colors>
    <mruColors>
      <color rgb="FFBFD2EB"/>
      <color rgb="FFEDA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Palatino Linotype" panose="02040502050505030304" pitchFamily="18" charset="0"/>
              </a:rPr>
              <a:t>Yearly Energy consumption in</a:t>
            </a:r>
            <a:r>
              <a:rPr lang="en-US" baseline="0">
                <a:latin typeface="Palatino Linotype" panose="02040502050505030304" pitchFamily="18" charset="0"/>
              </a:rPr>
              <a:t> kWh</a:t>
            </a:r>
            <a:endParaRPr lang="en-US">
              <a:latin typeface="Palatino Linotype" panose="02040502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 DFW Electric   DFW Electric 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Graph!$B$33:$B$39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0-90A9-477F-A09C-67C7C3A607EF}"/>
            </c:ext>
          </c:extLst>
        </c:ser>
        <c:ser>
          <c:idx val="1"/>
          <c:order val="1"/>
          <c:tx>
            <c:v> DFW Electric   DFW Electric 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Graph!$B$33:$B$39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1-90A9-477F-A09C-67C7C3A607EF}"/>
            </c:ext>
          </c:extLst>
        </c:ser>
        <c:ser>
          <c:idx val="2"/>
          <c:order val="2"/>
          <c:tx>
            <c:strRef>
              <c:f>Graph!$C$31</c:f>
              <c:strCache>
                <c:ptCount val="1"/>
                <c:pt idx="0">
                  <c:v> DFW Electric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Graph!$B$33:$B$39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Graph!$C$33:$C$39</c:f>
              <c:numCache>
                <c:formatCode>General</c:formatCode>
                <c:ptCount val="7"/>
                <c:pt idx="0">
                  <c:v>131400</c:v>
                </c:pt>
                <c:pt idx="1">
                  <c:v>105120</c:v>
                </c:pt>
                <c:pt idx="2">
                  <c:v>96360</c:v>
                </c:pt>
                <c:pt idx="3">
                  <c:v>87600</c:v>
                </c:pt>
                <c:pt idx="4">
                  <c:v>78840</c:v>
                </c:pt>
                <c:pt idx="5">
                  <c:v>70080</c:v>
                </c:pt>
                <c:pt idx="6">
                  <c:v>70080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9-477F-A09C-67C7C3A607EF}"/>
            </c:ext>
          </c:extLst>
        </c:ser>
        <c:ser>
          <c:idx val="3"/>
          <c:order val="3"/>
          <c:tx>
            <c:v> DFW 6000   DFW 6000 </c:v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Graph!$B$33:$B$39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3-90A9-477F-A09C-67C7C3A607EF}"/>
            </c:ext>
          </c:extLst>
        </c:ser>
        <c:ser>
          <c:idx val="4"/>
          <c:order val="4"/>
          <c:tx>
            <c:v> DFW 6000   DFW 6000 Electricity </c:v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Graph!$B$33:$B$39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4-90A9-477F-A09C-67C7C3A607EF}"/>
            </c:ext>
          </c:extLst>
        </c:ser>
        <c:ser>
          <c:idx val="5"/>
          <c:order val="5"/>
          <c:tx>
            <c:v> DFW 6000   DFW 6000 gas 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Graph!$B$33:$B$39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5-90A9-477F-A09C-67C7C3A607EF}"/>
            </c:ext>
          </c:extLst>
        </c:ser>
        <c:ser>
          <c:idx val="6"/>
          <c:order val="6"/>
          <c:tx>
            <c:v> DFW 6000   £ 0,15 x El. kWh </c:v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Graph!$B$33:$B$39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6-90A9-477F-A09C-67C7C3A607EF}"/>
            </c:ext>
          </c:extLst>
        </c:ser>
        <c:ser>
          <c:idx val="7"/>
          <c:order val="7"/>
          <c:tx>
            <c:v> DFW 6000   £ 0,034 x gas kWh </c:v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Graph!$B$33:$B$39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7-90A9-477F-A09C-67C7C3A607EF}"/>
            </c:ext>
          </c:extLst>
        </c:ser>
        <c:ser>
          <c:idx val="8"/>
          <c:order val="8"/>
          <c:tx>
            <c:strRef>
              <c:f>Graph!$D$31</c:f>
              <c:strCache>
                <c:ptCount val="1"/>
                <c:pt idx="0">
                  <c:v> DFW 6000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Graph!$B$33:$B$39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Graph!$D$33:$D$39</c:f>
              <c:numCache>
                <c:formatCode>0</c:formatCode>
                <c:ptCount val="7"/>
                <c:pt idx="0">
                  <c:v>395017.5</c:v>
                </c:pt>
                <c:pt idx="1">
                  <c:v>445361.25</c:v>
                </c:pt>
                <c:pt idx="2">
                  <c:v>542205</c:v>
                </c:pt>
                <c:pt idx="3">
                  <c:v>557673.75</c:v>
                </c:pt>
                <c:pt idx="4">
                  <c:v>484792.5</c:v>
                </c:pt>
                <c:pt idx="5">
                  <c:v>530486.25</c:v>
                </c:pt>
                <c:pt idx="6">
                  <c:v>511080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9-477F-A09C-67C7C3A60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28160016"/>
        <c:axId val="1928160432"/>
      </c:barChart>
      <c:catAx>
        <c:axId val="19281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cap="all" baseline="0">
                    <a:effectLst/>
                    <a:latin typeface="Palatino Linotype" panose="02040502050505030304" pitchFamily="18" charset="0"/>
                  </a:rPr>
                  <a:t>Cremations per year</a:t>
                </a:r>
                <a:endParaRPr lang="en-US" sz="1100">
                  <a:effectLst/>
                  <a:latin typeface="Palatino Linotype" panose="0204050205050503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cap="all" baseline="0">
                  <a:solidFill>
                    <a:sysClr val="window" lastClr="FFFFFF">
                      <a:lumMod val="8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160432"/>
        <c:crosses val="autoZero"/>
        <c:auto val="1"/>
        <c:lblAlgn val="ctr"/>
        <c:lblOffset val="100"/>
        <c:noMultiLvlLbl val="0"/>
      </c:catAx>
      <c:valAx>
        <c:axId val="192816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n-US"/>
          </a:p>
        </c:txPr>
        <c:crossAx val="19281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Palatino Linotype" panose="02040502050505030304" pitchFamily="18" charset="0"/>
              </a:rPr>
              <a:t>Yearly Energy costs in</a:t>
            </a:r>
            <a:r>
              <a:rPr lang="en-US" baseline="0">
                <a:latin typeface="Palatino Linotype" panose="02040502050505030304" pitchFamily="18" charset="0"/>
              </a:rPr>
              <a:t> DKK</a:t>
            </a:r>
            <a:endParaRPr lang="en-US">
              <a:latin typeface="Palatino Linotype" panose="02040502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 DFW Electric   DFW Electric 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Graph!$J$33:$J$39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0-F266-4F97-899A-A87AABE55028}"/>
            </c:ext>
          </c:extLst>
        </c:ser>
        <c:ser>
          <c:idx val="1"/>
          <c:order val="1"/>
          <c:tx>
            <c:v> DFW Electric   DFW Electric 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Graph!$J$33:$J$39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1-F266-4F97-899A-A87AABE55028}"/>
            </c:ext>
          </c:extLst>
        </c:ser>
        <c:ser>
          <c:idx val="2"/>
          <c:order val="2"/>
          <c:tx>
            <c:strRef>
              <c:f>Graph!$K$31</c:f>
              <c:strCache>
                <c:ptCount val="1"/>
                <c:pt idx="0">
                  <c:v> DFW Electric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19050" rIns="108000" bIns="19050" anchor="t" anchorCtr="0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F266-4F97-899A-A87AABE550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108000" bIns="19050" anchor="ctr" anchorCtr="0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Graph!$J$33:$J$39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Graph!$K$33:$K$39</c:f>
              <c:numCache>
                <c:formatCode>0_ ;\-0\ </c:formatCode>
                <c:ptCount val="7"/>
                <c:pt idx="0">
                  <c:v>367920</c:v>
                </c:pt>
                <c:pt idx="1">
                  <c:v>294336</c:v>
                </c:pt>
                <c:pt idx="2">
                  <c:v>269808</c:v>
                </c:pt>
                <c:pt idx="3">
                  <c:v>245279.99999999997</c:v>
                </c:pt>
                <c:pt idx="4">
                  <c:v>220752</c:v>
                </c:pt>
                <c:pt idx="5">
                  <c:v>196224</c:v>
                </c:pt>
                <c:pt idx="6">
                  <c:v>196224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66-4F97-899A-A87AABE55028}"/>
            </c:ext>
          </c:extLst>
        </c:ser>
        <c:ser>
          <c:idx val="3"/>
          <c:order val="3"/>
          <c:tx>
            <c:v> DFW 6000   DFW 6000 </c:v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Graph!$J$33:$J$39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3-F266-4F97-899A-A87AABE55028}"/>
            </c:ext>
          </c:extLst>
        </c:ser>
        <c:ser>
          <c:idx val="4"/>
          <c:order val="4"/>
          <c:tx>
            <c:v> DFW 6000   DFW 6000 Electricity </c:v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Graph!$J$33:$J$39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4-F266-4F97-899A-A87AABE55028}"/>
            </c:ext>
          </c:extLst>
        </c:ser>
        <c:ser>
          <c:idx val="5"/>
          <c:order val="5"/>
          <c:tx>
            <c:v> DFW 6000   DFW 6000 gas 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Graph!$J$33:$J$39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5-F266-4F97-899A-A87AABE55028}"/>
            </c:ext>
          </c:extLst>
        </c:ser>
        <c:ser>
          <c:idx val="6"/>
          <c:order val="6"/>
          <c:tx>
            <c:v> DFW 6000   £ 0,15 x El. kWh </c:v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Graph!$J$33:$J$39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6-F266-4F97-899A-A87AABE55028}"/>
            </c:ext>
          </c:extLst>
        </c:ser>
        <c:ser>
          <c:idx val="7"/>
          <c:order val="7"/>
          <c:tx>
            <c:v> DFW 6000   £ 0,034 x gas kWh </c:v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Graph!$J$33:$J$39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7-F266-4F97-899A-A87AABE55028}"/>
            </c:ext>
          </c:extLst>
        </c:ser>
        <c:ser>
          <c:idx val="8"/>
          <c:order val="8"/>
          <c:tx>
            <c:strRef>
              <c:f>Graph!$L$31</c:f>
              <c:strCache>
                <c:ptCount val="1"/>
                <c:pt idx="0">
                  <c:v> DFW 6000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19050" rIns="1080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F266-4F97-899A-A87AABE550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1080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Graph!$J$33:$J$39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Graph!$L$33:$L$39</c:f>
              <c:numCache>
                <c:formatCode>0_ ;\-0\ </c:formatCode>
                <c:ptCount val="7"/>
                <c:pt idx="0">
                  <c:v>544971.30215827341</c:v>
                </c:pt>
                <c:pt idx="1">
                  <c:v>615799.08992805763</c:v>
                </c:pt>
                <c:pt idx="2">
                  <c:v>746692.16546762595</c:v>
                </c:pt>
                <c:pt idx="3">
                  <c:v>772470.987410072</c:v>
                </c:pt>
                <c:pt idx="4">
                  <c:v>684125.76258992811</c:v>
                </c:pt>
                <c:pt idx="5">
                  <c:v>748947.02158273384</c:v>
                </c:pt>
                <c:pt idx="6">
                  <c:v>729676.87769784173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66-4F97-899A-A87AABE55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28160016"/>
        <c:axId val="1928160432"/>
      </c:barChart>
      <c:catAx>
        <c:axId val="19281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cap="all" baseline="0">
                    <a:effectLst/>
                    <a:latin typeface="Palatino Linotype" panose="02040502050505030304" pitchFamily="18" charset="0"/>
                  </a:rPr>
                  <a:t>Cremations per year</a:t>
                </a:r>
                <a:endParaRPr lang="en-US" sz="1100">
                  <a:effectLst/>
                  <a:latin typeface="Palatino Linotype" panose="0204050205050503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160432"/>
        <c:crosses val="autoZero"/>
        <c:auto val="1"/>
        <c:lblAlgn val="ctr"/>
        <c:lblOffset val="100"/>
        <c:noMultiLvlLbl val="0"/>
      </c:catAx>
      <c:valAx>
        <c:axId val="192816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_ ;\-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n-US"/>
          </a:p>
        </c:txPr>
        <c:crossAx val="19281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Palatino Linotype" panose="02040502050505030304" pitchFamily="18" charset="0"/>
              </a:rPr>
              <a:t>Yearly footprint in kg CO2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 DFW Electric   DFW Electric 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Graph!$R$33:$R$39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0-93FF-4635-BEB4-3D6826845DE4}"/>
            </c:ext>
          </c:extLst>
        </c:ser>
        <c:ser>
          <c:idx val="1"/>
          <c:order val="1"/>
          <c:tx>
            <c:v> DFW Electric   DFW Electric 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Graph!$R$33:$R$39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1-93FF-4635-BEB4-3D6826845DE4}"/>
            </c:ext>
          </c:extLst>
        </c:ser>
        <c:ser>
          <c:idx val="2"/>
          <c:order val="2"/>
          <c:tx>
            <c:strRef>
              <c:f>Graph!$S$31</c:f>
              <c:strCache>
                <c:ptCount val="1"/>
                <c:pt idx="0">
                  <c:v> DFW Electric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9600" tIns="19050" rIns="39600" bIns="19050" anchor="t" anchorCtr="0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93FF-4635-BEB4-3D6826845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9600" tIns="19050" rIns="39600" bIns="19050" anchor="ctr" anchorCtr="0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Graph!$R$33:$R$39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Graph!$S$33:$S$39</c:f>
              <c:numCache>
                <c:formatCode>0</c:formatCode>
                <c:ptCount val="7"/>
                <c:pt idx="0">
                  <c:v>20367</c:v>
                </c:pt>
                <c:pt idx="1">
                  <c:v>16293.6</c:v>
                </c:pt>
                <c:pt idx="2">
                  <c:v>14935.8</c:v>
                </c:pt>
                <c:pt idx="3">
                  <c:v>13578</c:v>
                </c:pt>
                <c:pt idx="4">
                  <c:v>12220.2</c:v>
                </c:pt>
                <c:pt idx="5">
                  <c:v>10862.4</c:v>
                </c:pt>
                <c:pt idx="6">
                  <c:v>10862.4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FF-4635-BEB4-3D6826845DE4}"/>
            </c:ext>
          </c:extLst>
        </c:ser>
        <c:ser>
          <c:idx val="3"/>
          <c:order val="3"/>
          <c:tx>
            <c:v> DFW 6000   DFW 6000 </c:v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Graph!$R$33:$R$39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4-93FF-4635-BEB4-3D6826845DE4}"/>
            </c:ext>
          </c:extLst>
        </c:ser>
        <c:ser>
          <c:idx val="4"/>
          <c:order val="4"/>
          <c:tx>
            <c:v> DFW 6000   DFW 6000 Electricity </c:v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Graph!$R$33:$R$39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5-93FF-4635-BEB4-3D6826845DE4}"/>
            </c:ext>
          </c:extLst>
        </c:ser>
        <c:ser>
          <c:idx val="5"/>
          <c:order val="5"/>
          <c:tx>
            <c:v> DFW 6000   DFW 6000 gas 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Graph!$R$33:$R$39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6-93FF-4635-BEB4-3D6826845DE4}"/>
            </c:ext>
          </c:extLst>
        </c:ser>
        <c:ser>
          <c:idx val="6"/>
          <c:order val="6"/>
          <c:tx>
            <c:v> DFW 6000   £ 0,15 x El. kWh </c:v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Graph!$R$33:$R$39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7-93FF-4635-BEB4-3D6826845DE4}"/>
            </c:ext>
          </c:extLst>
        </c:ser>
        <c:ser>
          <c:idx val="7"/>
          <c:order val="7"/>
          <c:tx>
            <c:v> DFW 6000   £ 0,034 x gas kWh </c:v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Graph!$R$33:$R$39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8-93FF-4635-BEB4-3D6826845DE4}"/>
            </c:ext>
          </c:extLst>
        </c:ser>
        <c:ser>
          <c:idx val="8"/>
          <c:order val="8"/>
          <c:tx>
            <c:strRef>
              <c:f>Graph!$T$31</c:f>
              <c:strCache>
                <c:ptCount val="1"/>
                <c:pt idx="0">
                  <c:v> DFW 6000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9600" tIns="19050" rIns="396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93FF-4635-BEB4-3D6826845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9600" tIns="19050" rIns="396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Graph!$R$33:$R$39</c:f>
              <c:numCache>
                <c:formatCode>General</c:formatCode>
                <c:ptCount val="7"/>
                <c:pt idx="0">
                  <c:v>500</c:v>
                </c:pt>
                <c:pt idx="1">
                  <c:v>750</c:v>
                </c:pt>
                <c:pt idx="2">
                  <c:v>1000</c:v>
                </c:pt>
                <c:pt idx="3">
                  <c:v>1250</c:v>
                </c:pt>
                <c:pt idx="4">
                  <c:v>1500</c:v>
                </c:pt>
                <c:pt idx="5">
                  <c:v>1750</c:v>
                </c:pt>
                <c:pt idx="6">
                  <c:v>2000</c:v>
                </c:pt>
              </c:numCache>
            </c:numRef>
          </c:cat>
          <c:val>
            <c:numRef>
              <c:f>Graph!$T$33:$T$39</c:f>
              <c:numCache>
                <c:formatCode>0</c:formatCode>
                <c:ptCount val="7"/>
                <c:pt idx="0">
                  <c:v>75567.712499999994</c:v>
                </c:pt>
                <c:pt idx="1">
                  <c:v>85163.493749999994</c:v>
                </c:pt>
                <c:pt idx="2">
                  <c:v>103759.27499999998</c:v>
                </c:pt>
                <c:pt idx="3">
                  <c:v>106605.05624999998</c:v>
                </c:pt>
                <c:pt idx="4">
                  <c:v>92350.837499999994</c:v>
                </c:pt>
                <c:pt idx="5">
                  <c:v>101046.61874999999</c:v>
                </c:pt>
                <c:pt idx="6">
                  <c:v>97142.399999999994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FF-4635-BEB4-3D682684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28160016"/>
        <c:axId val="1928160432"/>
      </c:barChart>
      <c:catAx>
        <c:axId val="19281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cap="all" baseline="0">
                    <a:effectLst/>
                    <a:latin typeface="Palatino Linotype" panose="02040502050505030304" pitchFamily="18" charset="0"/>
                  </a:rPr>
                  <a:t>Cremations per year</a:t>
                </a:r>
                <a:endParaRPr lang="en-US" sz="1100">
                  <a:effectLst/>
                  <a:latin typeface="Palatino Linotype" panose="0204050205050503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160432"/>
        <c:crosses val="autoZero"/>
        <c:auto val="1"/>
        <c:lblAlgn val="ctr"/>
        <c:lblOffset val="100"/>
        <c:noMultiLvlLbl val="0"/>
      </c:catAx>
      <c:valAx>
        <c:axId val="192816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n-US"/>
          </a:p>
        </c:txPr>
        <c:crossAx val="19281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oddays.eu/en/woodclimate/index.html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en.wikipedia.org/wiki/Composition_of_the_human_body" TargetMode="Externa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291503</xdr:colOff>
      <xdr:row>21</xdr:row>
      <xdr:rowOff>75141</xdr:rowOff>
    </xdr:from>
    <xdr:to>
      <xdr:col>13</xdr:col>
      <xdr:colOff>198299</xdr:colOff>
      <xdr:row>29</xdr:row>
      <xdr:rowOff>157426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1B96986-EADD-475D-BC28-ACFEB2064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7420" y="4456641"/>
          <a:ext cx="3018295" cy="1628775"/>
        </a:xfrm>
        <a:prstGeom prst="rect">
          <a:avLst/>
        </a:prstGeom>
      </xdr:spPr>
    </xdr:pic>
    <xdr:clientData/>
  </xdr:twoCellAnchor>
  <xdr:twoCellAnchor>
    <xdr:from>
      <xdr:col>21</xdr:col>
      <xdr:colOff>98686</xdr:colOff>
      <xdr:row>14</xdr:row>
      <xdr:rowOff>139698</xdr:rowOff>
    </xdr:from>
    <xdr:to>
      <xdr:col>29</xdr:col>
      <xdr:colOff>476247</xdr:colOff>
      <xdr:row>36</xdr:row>
      <xdr:rowOff>35718</xdr:rowOff>
    </xdr:to>
    <xdr:sp macro="" textlink="">
      <xdr:nvSpPr>
        <xdr:cNvPr id="4" name="Wolk 3">
          <a:extLst>
            <a:ext uri="{FF2B5EF4-FFF2-40B4-BE49-F238E27FC236}">
              <a16:creationId xmlns:a16="http://schemas.microsoft.com/office/drawing/2014/main" id="{E4E69D5B-9640-45FE-915A-3619ABC53BA3}"/>
            </a:ext>
          </a:extLst>
        </xdr:cNvPr>
        <xdr:cNvSpPr/>
      </xdr:nvSpPr>
      <xdr:spPr>
        <a:xfrm>
          <a:off x="17803280" y="3163886"/>
          <a:ext cx="6473561" cy="4194176"/>
        </a:xfrm>
        <a:prstGeom prst="cloud">
          <a:avLst/>
        </a:prstGeom>
        <a:solidFill>
          <a:srgbClr val="BFD2E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At 100% Green energy or Bio Fuel without Mass Balance the CO2 footprint is Zero.</a:t>
          </a:r>
          <a:r>
            <a:rPr lang="en-US" sz="1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In practice we compare with grey energy and Natural gas.</a:t>
          </a:r>
          <a:endParaRPr lang="en-US" sz="16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pPr algn="ctr"/>
          <a:endParaRPr lang="en-US" sz="16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pPr algn="ctr"/>
          <a:r>
            <a:rPr lang="en-US" sz="1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CO</a:t>
          </a:r>
          <a:r>
            <a:rPr lang="en-US" sz="1600" b="1" cap="none" spc="0" baseline="-2500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2</a:t>
          </a:r>
          <a:r>
            <a:rPr lang="en-US" sz="1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emission Grey Energy</a:t>
          </a:r>
        </a:p>
        <a:p>
          <a:pPr algn="ctr"/>
          <a:endParaRPr lang="en-GB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When you use grey energy from fuels, coal, gas CO</a:t>
          </a:r>
          <a:r>
            <a:rPr lang="en-US" sz="1100" b="0" cap="none" spc="0" baseline="-2500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2</a:t>
          </a:r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is emitted.</a:t>
          </a:r>
        </a:p>
        <a:p>
          <a:pPr algn="ctr"/>
          <a:endParaRPr lang="en-GB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The emission factor from Grey electricity is 0,155 kg CO</a:t>
          </a:r>
          <a:r>
            <a:rPr lang="en-US" sz="1100" b="0" cap="none" spc="0" baseline="-2500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2 </a:t>
          </a:r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per kWh.</a:t>
          </a:r>
        </a:p>
        <a:p>
          <a:pPr algn="ctr"/>
          <a:endParaRPr lang="en-GB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The emission factor from Grey gas is 1,8 kg CO</a:t>
          </a:r>
          <a:r>
            <a:rPr lang="en-US" sz="1100" b="0" cap="none" spc="0" baseline="-2500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2 </a:t>
          </a:r>
          <a:r>
            <a:rPr 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per m³ </a:t>
          </a:r>
          <a:endParaRPr lang="en-GB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21</xdr:col>
      <xdr:colOff>295274</xdr:colOff>
      <xdr:row>10</xdr:row>
      <xdr:rowOff>44451</xdr:rowOff>
    </xdr:from>
    <xdr:to>
      <xdr:col>21</xdr:col>
      <xdr:colOff>1428749</xdr:colOff>
      <xdr:row>14</xdr:row>
      <xdr:rowOff>78317</xdr:rowOff>
    </xdr:to>
    <xdr:sp macro="" textlink="">
      <xdr:nvSpPr>
        <xdr:cNvPr id="5" name="Wolk 4">
          <a:extLst>
            <a:ext uri="{FF2B5EF4-FFF2-40B4-BE49-F238E27FC236}">
              <a16:creationId xmlns:a16="http://schemas.microsoft.com/office/drawing/2014/main" id="{8EF10D6C-C84D-4534-864A-5534168E512A}"/>
            </a:ext>
          </a:extLst>
        </xdr:cNvPr>
        <xdr:cNvSpPr/>
      </xdr:nvSpPr>
      <xdr:spPr>
        <a:xfrm>
          <a:off x="17778941" y="2277534"/>
          <a:ext cx="1133475" cy="848783"/>
        </a:xfrm>
        <a:prstGeom prst="cloud">
          <a:avLst/>
        </a:prstGeom>
        <a:solidFill>
          <a:srgbClr val="BFD2E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223838</xdr:colOff>
      <xdr:row>9</xdr:row>
      <xdr:rowOff>39687</xdr:rowOff>
    </xdr:from>
    <xdr:to>
      <xdr:col>21</xdr:col>
      <xdr:colOff>328613</xdr:colOff>
      <xdr:row>12</xdr:row>
      <xdr:rowOff>74612</xdr:rowOff>
    </xdr:to>
    <xdr:sp macro="" textlink="">
      <xdr:nvSpPr>
        <xdr:cNvPr id="6" name="Wolk 5">
          <a:extLst>
            <a:ext uri="{FF2B5EF4-FFF2-40B4-BE49-F238E27FC236}">
              <a16:creationId xmlns:a16="http://schemas.microsoft.com/office/drawing/2014/main" id="{C7C1FFB1-EDF1-49F5-8042-DC117014C3EE}"/>
            </a:ext>
          </a:extLst>
        </xdr:cNvPr>
        <xdr:cNvSpPr/>
      </xdr:nvSpPr>
      <xdr:spPr>
        <a:xfrm>
          <a:off x="17202151" y="2063750"/>
          <a:ext cx="711993" cy="654050"/>
        </a:xfrm>
        <a:prstGeom prst="cloud">
          <a:avLst/>
        </a:prstGeom>
        <a:solidFill>
          <a:srgbClr val="BFD2E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238586</xdr:colOff>
      <xdr:row>0</xdr:row>
      <xdr:rowOff>254001</xdr:rowOff>
    </xdr:from>
    <xdr:to>
      <xdr:col>12</xdr:col>
      <xdr:colOff>979419</xdr:colOff>
      <xdr:row>5</xdr:row>
      <xdr:rowOff>21166</xdr:rowOff>
    </xdr:to>
    <xdr:sp macro="" textlink="">
      <xdr:nvSpPr>
        <xdr:cNvPr id="7" name="Pijl: links 6">
          <a:extLst>
            <a:ext uri="{FF2B5EF4-FFF2-40B4-BE49-F238E27FC236}">
              <a16:creationId xmlns:a16="http://schemas.microsoft.com/office/drawing/2014/main" id="{655413E9-8AF5-428E-ADEB-E94823E4C9C5}"/>
            </a:ext>
          </a:extLst>
        </xdr:cNvPr>
        <xdr:cNvSpPr/>
      </xdr:nvSpPr>
      <xdr:spPr>
        <a:xfrm>
          <a:off x="6768503" y="254001"/>
          <a:ext cx="2688166" cy="973665"/>
        </a:xfrm>
        <a:prstGeom prst="leftArrow">
          <a:avLst/>
        </a:prstGeom>
        <a:solidFill>
          <a:srgbClr val="BFD2E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ctr"/>
          <a:r>
            <a:rPr lang="en-GB" sz="1200" b="1">
              <a:solidFill>
                <a:schemeClr val="tx1"/>
              </a:solidFill>
              <a:latin typeface="Palatino Linotype" panose="02040502050505030304" pitchFamily="18" charset="0"/>
            </a:rPr>
            <a:t>Select your amount of cremations per day here</a:t>
          </a:r>
        </a:p>
      </xdr:txBody>
    </xdr:sp>
    <xdr:clientData/>
  </xdr:twoCellAnchor>
  <xdr:twoCellAnchor>
    <xdr:from>
      <xdr:col>8</xdr:col>
      <xdr:colOff>423333</xdr:colOff>
      <xdr:row>2</xdr:row>
      <xdr:rowOff>222252</xdr:rowOff>
    </xdr:from>
    <xdr:to>
      <xdr:col>13</xdr:col>
      <xdr:colOff>391582</xdr:colOff>
      <xdr:row>7</xdr:row>
      <xdr:rowOff>105833</xdr:rowOff>
    </xdr:to>
    <xdr:sp macro="" textlink="">
      <xdr:nvSpPr>
        <xdr:cNvPr id="13" name="Pijl: links 12">
          <a:extLst>
            <a:ext uri="{FF2B5EF4-FFF2-40B4-BE49-F238E27FC236}">
              <a16:creationId xmlns:a16="http://schemas.microsoft.com/office/drawing/2014/main" id="{E5AD007E-6CEA-4DBF-8143-D01D5C07D004}"/>
            </a:ext>
          </a:extLst>
        </xdr:cNvPr>
        <xdr:cNvSpPr/>
      </xdr:nvSpPr>
      <xdr:spPr>
        <a:xfrm rot="10800000">
          <a:off x="7260166" y="740835"/>
          <a:ext cx="2688166" cy="973665"/>
        </a:xfrm>
        <a:prstGeom prst="leftArrow">
          <a:avLst/>
        </a:prstGeom>
        <a:solidFill>
          <a:srgbClr val="BFD2E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horz" rtlCol="0" anchor="t"/>
        <a:lstStyle/>
        <a:p>
          <a:pPr algn="ctr"/>
          <a:endParaRPr lang="en-GB" sz="1200" b="1">
            <a:solidFill>
              <a:schemeClr val="tx1"/>
            </a:solidFill>
            <a:latin typeface="Palatino Linotype" panose="02040502050505030304" pitchFamily="18" charset="0"/>
          </a:endParaRPr>
        </a:p>
      </xdr:txBody>
    </xdr:sp>
    <xdr:clientData/>
  </xdr:twoCellAnchor>
  <xdr:twoCellAnchor>
    <xdr:from>
      <xdr:col>8</xdr:col>
      <xdr:colOff>476252</xdr:colOff>
      <xdr:row>4</xdr:row>
      <xdr:rowOff>21167</xdr:rowOff>
    </xdr:from>
    <xdr:to>
      <xdr:col>12</xdr:col>
      <xdr:colOff>1068917</xdr:colOff>
      <xdr:row>6</xdr:row>
      <xdr:rowOff>31750</xdr:rowOff>
    </xdr:to>
    <xdr:sp macro="" textlink="">
      <xdr:nvSpPr>
        <xdr:cNvPr id="14" name="Tekstvak 13">
          <a:extLst>
            <a:ext uri="{FF2B5EF4-FFF2-40B4-BE49-F238E27FC236}">
              <a16:creationId xmlns:a16="http://schemas.microsoft.com/office/drawing/2014/main" id="{0BC92F0A-FE6D-4D55-A94F-8DE0B56AC95D}"/>
            </a:ext>
          </a:extLst>
        </xdr:cNvPr>
        <xdr:cNvSpPr txBox="1"/>
      </xdr:nvSpPr>
      <xdr:spPr>
        <a:xfrm>
          <a:off x="7313085" y="1005417"/>
          <a:ext cx="2233082" cy="444500"/>
        </a:xfrm>
        <a:prstGeom prst="rect">
          <a:avLst/>
        </a:prstGeom>
        <a:solidFill>
          <a:srgbClr val="BFD2EB"/>
        </a:solidFill>
        <a:ln w="9525" cmpd="sng">
          <a:solidFill>
            <a:srgbClr val="BFD2E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/>
        <a:lstStyle/>
        <a:p>
          <a:r>
            <a:rPr lang="en-GB" sz="1200" b="1">
              <a:latin typeface="Palatino Linotype" panose="02040502050505030304" pitchFamily="18" charset="0"/>
            </a:rPr>
            <a:t>and the amount of days cremation takes place here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2585356</xdr:colOff>
      <xdr:row>27</xdr:row>
      <xdr:rowOff>44824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9B1B4CF-4DCA-4BD7-9C89-3FFFF1C70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0</xdr:row>
      <xdr:rowOff>0</xdr:rowOff>
    </xdr:from>
    <xdr:to>
      <xdr:col>15</xdr:col>
      <xdr:colOff>22413</xdr:colOff>
      <xdr:row>27</xdr:row>
      <xdr:rowOff>44824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40ABC831-2941-4246-AA46-6AD297AB7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</xdr:colOff>
      <xdr:row>0</xdr:row>
      <xdr:rowOff>0</xdr:rowOff>
    </xdr:from>
    <xdr:to>
      <xdr:col>23</xdr:col>
      <xdr:colOff>1</xdr:colOff>
      <xdr:row>27</xdr:row>
      <xdr:rowOff>44824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91EE323E-3691-4A3B-9F57-A937FE484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10</xdr:row>
      <xdr:rowOff>205540</xdr:rowOff>
    </xdr:from>
    <xdr:to>
      <xdr:col>8</xdr:col>
      <xdr:colOff>192761</xdr:colOff>
      <xdr:row>13</xdr:row>
      <xdr:rowOff>9740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9E3ACE-08F6-4D8E-8107-ED000502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6304" y="2787316"/>
          <a:ext cx="1174839" cy="445886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16</xdr:row>
      <xdr:rowOff>0</xdr:rowOff>
    </xdr:from>
    <xdr:to>
      <xdr:col>8</xdr:col>
      <xdr:colOff>192761</xdr:colOff>
      <xdr:row>18</xdr:row>
      <xdr:rowOff>14755</xdr:rowOff>
    </xdr:to>
    <xdr:pic>
      <xdr:nvPicPr>
        <xdr:cNvPr id="4" name="Afbeelding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3ED06D-27B9-4CCD-AFCF-ECF2B9A60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0" y="3838575"/>
          <a:ext cx="1173836" cy="443379"/>
        </a:xfrm>
        <a:prstGeom prst="rect">
          <a:avLst/>
        </a:prstGeom>
      </xdr:spPr>
    </xdr:pic>
    <xdr:clientData/>
  </xdr:twoCellAnchor>
  <xdr:twoCellAnchor editAs="oneCell">
    <xdr:from>
      <xdr:col>9</xdr:col>
      <xdr:colOff>86833</xdr:colOff>
      <xdr:row>10</xdr:row>
      <xdr:rowOff>179915</xdr:rowOff>
    </xdr:from>
    <xdr:to>
      <xdr:col>12</xdr:col>
      <xdr:colOff>455084</xdr:colOff>
      <xdr:row>18</xdr:row>
      <xdr:rowOff>12693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BA69547-2DF0-47DF-B7A2-334D34162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8916" y="2349498"/>
          <a:ext cx="2453168" cy="15472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1</xdr:row>
      <xdr:rowOff>142875</xdr:rowOff>
    </xdr:from>
    <xdr:to>
      <xdr:col>13</xdr:col>
      <xdr:colOff>447674</xdr:colOff>
      <xdr:row>7</xdr:row>
      <xdr:rowOff>123825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1B3A9B23-122D-4D6D-96B5-8406785D6DA4}"/>
            </a:ext>
          </a:extLst>
        </xdr:cNvPr>
        <xdr:cNvSpPr/>
      </xdr:nvSpPr>
      <xdr:spPr>
        <a:xfrm>
          <a:off x="5038724" y="333375"/>
          <a:ext cx="4295775" cy="1162050"/>
        </a:xfrm>
        <a:prstGeom prst="rect">
          <a:avLst/>
        </a:prstGeom>
        <a:solidFill>
          <a:srgbClr val="EDA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>
              <a:solidFill>
                <a:sysClr val="windowText" lastClr="000000"/>
              </a:solidFill>
            </a:rPr>
            <a:t>The</a:t>
          </a:r>
          <a:r>
            <a:rPr lang="en-GB" sz="1800" baseline="0">
              <a:solidFill>
                <a:sysClr val="windowText" lastClr="000000"/>
              </a:solidFill>
            </a:rPr>
            <a:t> rates we use here have been put together through many years of experience with our customers.</a:t>
          </a:r>
          <a:endParaRPr lang="en-GB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714375</xdr:colOff>
      <xdr:row>6</xdr:row>
      <xdr:rowOff>9525</xdr:rowOff>
    </xdr:from>
    <xdr:to>
      <xdr:col>12</xdr:col>
      <xdr:colOff>428625</xdr:colOff>
      <xdr:row>13</xdr:row>
      <xdr:rowOff>9524</xdr:rowOff>
    </xdr:to>
    <xdr:sp macro="" textlink="">
      <xdr:nvSpPr>
        <xdr:cNvPr id="7" name="Pijl: links 6">
          <a:extLst>
            <a:ext uri="{FF2B5EF4-FFF2-40B4-BE49-F238E27FC236}">
              <a16:creationId xmlns:a16="http://schemas.microsoft.com/office/drawing/2014/main" id="{1D89FBDB-9BF3-48BC-A843-1C192CF4A4F0}"/>
            </a:ext>
          </a:extLst>
        </xdr:cNvPr>
        <xdr:cNvSpPr/>
      </xdr:nvSpPr>
      <xdr:spPr>
        <a:xfrm>
          <a:off x="4343400" y="1190625"/>
          <a:ext cx="4362450" cy="1333499"/>
        </a:xfrm>
        <a:prstGeom prst="leftArrow">
          <a:avLst/>
        </a:prstGeom>
        <a:solidFill>
          <a:srgbClr val="BFD2E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aseline="0">
              <a:solidFill>
                <a:sysClr val="windowText" lastClr="000000"/>
              </a:solidFill>
            </a:rPr>
            <a:t>but feel free to adjust them</a:t>
          </a:r>
          <a:endParaRPr lang="en-GB" sz="18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66675</xdr:colOff>
      <xdr:row>16</xdr:row>
      <xdr:rowOff>28575</xdr:rowOff>
    </xdr:from>
    <xdr:to>
      <xdr:col>5</xdr:col>
      <xdr:colOff>65545</xdr:colOff>
      <xdr:row>24</xdr:row>
      <xdr:rowOff>133350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2099929F-5752-426F-A9B3-A77B98DF9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" y="3114675"/>
          <a:ext cx="3018295" cy="162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lobalpetrolprices.com/natural_gas_pric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ssets.publishing.service.gov.uk/government/uploads/system/uploads/attachment_data/file/1049346/2021-ghg-conversion-factors-methodology.pdf" TargetMode="External"/><Relationship Id="rId1" Type="http://schemas.openxmlformats.org/officeDocument/2006/relationships/hyperlink" Target="https://www.gov.uk/government/publications/greenhouse-gas-reporting-conversion-factors-202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tatbank.dk/ENERGI4" TargetMode="External"/><Relationship Id="rId4" Type="http://schemas.openxmlformats.org/officeDocument/2006/relationships/hyperlink" Target="https://www.statbank.dk/ENERGI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a.com/statistics/1291750/carbon-intensity-power-sector-eu-country/" TargetMode="External"/><Relationship Id="rId13" Type="http://schemas.openxmlformats.org/officeDocument/2006/relationships/hyperlink" Target="https://www.statista.com/statistics/1291750/carbon-intensity-power-sector-eu-country/" TargetMode="External"/><Relationship Id="rId3" Type="http://schemas.openxmlformats.org/officeDocument/2006/relationships/hyperlink" Target="https://www.statista.com/statistics/1291750/carbon-intensity-power-sector-eu-country/" TargetMode="External"/><Relationship Id="rId7" Type="http://schemas.openxmlformats.org/officeDocument/2006/relationships/hyperlink" Target="https://www.statista.com/statistics/1291750/carbon-intensity-power-sector-eu-country/" TargetMode="External"/><Relationship Id="rId12" Type="http://schemas.openxmlformats.org/officeDocument/2006/relationships/hyperlink" Target="https://www.statista.com/statistics/1291750/carbon-intensity-power-sector-eu-country/" TargetMode="External"/><Relationship Id="rId2" Type="http://schemas.openxmlformats.org/officeDocument/2006/relationships/hyperlink" Target="https://klimaatmonitor.databank.nl/content/co2-uitstoot" TargetMode="External"/><Relationship Id="rId1" Type="http://schemas.openxmlformats.org/officeDocument/2006/relationships/hyperlink" Target="https://www.gov.uk/government/publications/greenhouse-gas-reporting-conversion-factors-2022" TargetMode="External"/><Relationship Id="rId6" Type="http://schemas.openxmlformats.org/officeDocument/2006/relationships/hyperlink" Target="https://www.statista.com/statistics/1291750/carbon-intensity-power-sector-eu-country/" TargetMode="External"/><Relationship Id="rId11" Type="http://schemas.openxmlformats.org/officeDocument/2006/relationships/hyperlink" Target="https://www.statista.com/statistics/1291750/carbon-intensity-power-sector-eu-country/" TargetMode="External"/><Relationship Id="rId5" Type="http://schemas.openxmlformats.org/officeDocument/2006/relationships/hyperlink" Target="https://www.statista.com/statistics/1291750/carbon-intensity-power-sector-eu-country/" TargetMode="External"/><Relationship Id="rId10" Type="http://schemas.openxmlformats.org/officeDocument/2006/relationships/hyperlink" Target="https://www.statista.com/statistics/1291750/carbon-intensity-power-sector-eu-country/" TargetMode="External"/><Relationship Id="rId4" Type="http://schemas.openxmlformats.org/officeDocument/2006/relationships/hyperlink" Target="https://www.statista.com/statistics/1291750/carbon-intensity-power-sector-eu-country/" TargetMode="External"/><Relationship Id="rId9" Type="http://schemas.openxmlformats.org/officeDocument/2006/relationships/hyperlink" Target="https://www.statista.com/statistics/1291750/carbon-intensity-power-sector-eu-country/" TargetMode="External"/><Relationship Id="rId14" Type="http://schemas.openxmlformats.org/officeDocument/2006/relationships/hyperlink" Target="https://www.statista.com/statistics/1291750/carbon-intensity-power-sector-eu-count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6F29-0431-4443-BD06-1019DA75BBCC}">
  <sheetPr codeName="Blad2"/>
  <dimension ref="A1:AS252"/>
  <sheetViews>
    <sheetView zoomScale="80" zoomScaleNormal="80" workbookViewId="0">
      <selection activeCell="T31" sqref="T31"/>
    </sheetView>
  </sheetViews>
  <sheetFormatPr defaultColWidth="9.140625" defaultRowHeight="16.5" x14ac:dyDescent="0.3"/>
  <cols>
    <col min="1" max="1" width="3.28515625" style="1" customWidth="1"/>
    <col min="2" max="2" width="21.7109375" style="1" bestFit="1" customWidth="1"/>
    <col min="3" max="3" width="11.28515625" style="1" bestFit="1" customWidth="1"/>
    <col min="4" max="4" width="13.140625" style="1" bestFit="1" customWidth="1"/>
    <col min="5" max="5" width="1.85546875" style="1" customWidth="1"/>
    <col min="6" max="6" width="26.85546875" style="1" bestFit="1" customWidth="1"/>
    <col min="7" max="7" width="20.42578125" style="1" bestFit="1" customWidth="1"/>
    <col min="8" max="8" width="4.5703125" style="1" customWidth="1"/>
    <col min="9" max="9" width="12.28515625" style="1" bestFit="1" customWidth="1"/>
    <col min="10" max="10" width="3.42578125" style="1" customWidth="1"/>
    <col min="11" max="11" width="5" style="1" bestFit="1" customWidth="1"/>
    <col min="12" max="12" width="5.140625" style="1" bestFit="1" customWidth="1"/>
    <col min="13" max="13" width="16.140625" style="1" bestFit="1" customWidth="1"/>
    <col min="14" max="14" width="9.140625" style="1"/>
    <col min="15" max="15" width="36.7109375" style="1" bestFit="1" customWidth="1"/>
    <col min="16" max="16" width="5" style="1" customWidth="1"/>
    <col min="17" max="17" width="20.85546875" style="1" customWidth="1"/>
    <col min="18" max="18" width="13.28515625" style="1" customWidth="1"/>
    <col min="19" max="19" width="6.140625" style="1" customWidth="1"/>
    <col min="20" max="20" width="20.42578125" style="1" bestFit="1" customWidth="1"/>
    <col min="21" max="21" width="9.140625" style="1"/>
    <col min="22" max="22" width="35.42578125" style="1" bestFit="1" customWidth="1"/>
    <col min="23" max="23" width="6.5703125" style="1" bestFit="1" customWidth="1"/>
    <col min="24" max="24" width="13.140625" style="1" bestFit="1" customWidth="1"/>
    <col min="25" max="25" width="0.5703125" style="1" hidden="1" customWidth="1"/>
    <col min="26" max="26" width="8.85546875" style="1" bestFit="1" customWidth="1"/>
    <col min="27" max="16384" width="9.140625" style="1"/>
  </cols>
  <sheetData>
    <row r="1" spans="1:45" ht="22.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</row>
    <row r="2" spans="1:45" ht="18" x14ac:dyDescent="0.35">
      <c r="A2" s="34"/>
      <c r="B2" s="31" t="s">
        <v>65</v>
      </c>
      <c r="C2" s="32"/>
      <c r="D2" s="32"/>
      <c r="E2" s="32"/>
      <c r="F2" s="32"/>
      <c r="G2" s="33"/>
      <c r="H2" s="37"/>
      <c r="I2" s="34"/>
      <c r="J2" s="34"/>
      <c r="K2" s="34"/>
      <c r="L2" s="34"/>
      <c r="M2" s="34"/>
      <c r="N2" s="34"/>
      <c r="O2" s="151" t="s">
        <v>16</v>
      </c>
      <c r="P2" s="152"/>
      <c r="Q2" s="152"/>
      <c r="R2" s="152"/>
      <c r="S2" s="159"/>
      <c r="T2" s="160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5" ht="18" customHeight="1" x14ac:dyDescent="0.3">
      <c r="A3" s="34"/>
      <c r="B3" s="3"/>
      <c r="C3" s="4"/>
      <c r="D3" s="4"/>
      <c r="E3" s="4"/>
      <c r="F3" s="4"/>
      <c r="G3" s="5"/>
      <c r="H3" s="34"/>
      <c r="I3" s="34"/>
      <c r="J3" s="34"/>
      <c r="K3" s="34"/>
      <c r="L3" s="34"/>
      <c r="M3" s="34"/>
      <c r="N3" s="34"/>
      <c r="O3" s="3"/>
      <c r="S3" s="4"/>
      <c r="T3" s="5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</row>
    <row r="4" spans="1:45" ht="18" customHeight="1" x14ac:dyDescent="0.3">
      <c r="A4" s="34"/>
      <c r="B4" s="19" t="s">
        <v>5</v>
      </c>
      <c r="C4" s="131">
        <v>2.8</v>
      </c>
      <c r="D4" s="1" t="s">
        <v>2</v>
      </c>
      <c r="F4" s="1" t="s">
        <v>7</v>
      </c>
      <c r="G4" s="68">
        <v>4</v>
      </c>
      <c r="H4" s="34"/>
      <c r="I4" s="34"/>
      <c r="J4" s="34"/>
      <c r="K4" s="34"/>
      <c r="L4" s="34"/>
      <c r="M4" s="34"/>
      <c r="N4" s="34"/>
      <c r="O4" s="19">
        <f>365-O5</f>
        <v>115</v>
      </c>
      <c r="P4" s="161" t="s">
        <v>48</v>
      </c>
      <c r="Q4" s="161"/>
      <c r="R4" s="2"/>
      <c r="T4" s="20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</row>
    <row r="5" spans="1:45" ht="17.25" x14ac:dyDescent="0.35">
      <c r="A5" s="34"/>
      <c r="B5" s="19" t="s">
        <v>6</v>
      </c>
      <c r="C5" s="131">
        <v>11.97</v>
      </c>
      <c r="D5" s="1" t="s">
        <v>36</v>
      </c>
      <c r="F5" s="1" t="s">
        <v>56</v>
      </c>
      <c r="G5" s="86">
        <f>G4*K13/60</f>
        <v>6</v>
      </c>
      <c r="H5" s="34"/>
      <c r="I5" s="34"/>
      <c r="J5" s="34"/>
      <c r="K5" s="34"/>
      <c r="L5" s="34"/>
      <c r="M5" s="34"/>
      <c r="N5" s="34"/>
      <c r="O5" s="73">
        <v>250</v>
      </c>
      <c r="P5" s="162" t="s">
        <v>17</v>
      </c>
      <c r="Q5" s="162"/>
      <c r="R5" s="7"/>
      <c r="S5" s="7">
        <f>G4*O5</f>
        <v>1000</v>
      </c>
      <c r="T5" s="8" t="s">
        <v>41</v>
      </c>
      <c r="U5" s="36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</row>
    <row r="6" spans="1:45" x14ac:dyDescent="0.3">
      <c r="A6" s="34"/>
      <c r="B6" s="6"/>
      <c r="C6" s="132">
        <f>C5/GJtokWH!K9</f>
        <v>1.291726618705036</v>
      </c>
      <c r="D6" s="7" t="s">
        <v>2</v>
      </c>
      <c r="E6" s="7"/>
      <c r="F6" s="7" t="s">
        <v>57</v>
      </c>
      <c r="G6" s="87">
        <f>G4*K20/60</f>
        <v>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5" s="2" customFormat="1" ht="15" customHeight="1" x14ac:dyDescent="0.35">
      <c r="A7" s="26"/>
      <c r="B7" s="26"/>
      <c r="C7" s="26"/>
      <c r="D7" s="26"/>
      <c r="E7" s="26"/>
      <c r="F7" s="26"/>
      <c r="G7" s="69"/>
      <c r="H7" s="34"/>
      <c r="I7" s="34"/>
      <c r="J7" s="34"/>
      <c r="K7" s="34"/>
      <c r="L7" s="34"/>
      <c r="M7" s="34"/>
      <c r="N7" s="26"/>
      <c r="O7" s="38" t="s">
        <v>15</v>
      </c>
      <c r="P7" s="151" t="s">
        <v>46</v>
      </c>
      <c r="Q7" s="152"/>
      <c r="R7" s="152"/>
      <c r="S7" s="152"/>
      <c r="T7" s="153"/>
      <c r="U7" s="95" t="s">
        <v>80</v>
      </c>
      <c r="V7" s="34"/>
      <c r="W7" s="34"/>
      <c r="X7" s="34"/>
      <c r="Y7" s="34"/>
      <c r="Z7" s="34"/>
      <c r="AA7" s="34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</row>
    <row r="8" spans="1:45" s="2" customFormat="1" ht="19.5" x14ac:dyDescent="0.4">
      <c r="A8" s="26"/>
      <c r="B8" s="31" t="s">
        <v>3</v>
      </c>
      <c r="C8" s="152" t="s">
        <v>3</v>
      </c>
      <c r="D8" s="152"/>
      <c r="E8" s="32"/>
      <c r="F8" s="152" t="s">
        <v>0</v>
      </c>
      <c r="G8" s="153"/>
      <c r="H8" s="34"/>
      <c r="I8" s="26"/>
      <c r="J8" s="26"/>
      <c r="K8" s="26"/>
      <c r="L8" s="26"/>
      <c r="M8" s="26"/>
      <c r="N8" s="26"/>
      <c r="O8" s="13" t="s">
        <v>38</v>
      </c>
      <c r="Q8" s="127">
        <v>0.155</v>
      </c>
      <c r="T8" s="20"/>
      <c r="U8" s="26" t="s">
        <v>81</v>
      </c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</row>
    <row r="9" spans="1:45" s="2" customFormat="1" ht="15" customHeight="1" x14ac:dyDescent="0.4">
      <c r="A9" s="26"/>
      <c r="B9" s="154" t="s">
        <v>52</v>
      </c>
      <c r="C9" s="155"/>
      <c r="D9" s="155"/>
      <c r="E9" s="11"/>
      <c r="F9" s="11"/>
      <c r="G9" s="12"/>
      <c r="H9" s="26"/>
      <c r="I9" s="156" t="s">
        <v>1</v>
      </c>
      <c r="J9" s="157"/>
      <c r="K9" s="157"/>
      <c r="L9" s="157"/>
      <c r="M9" s="158"/>
      <c r="N9" s="26"/>
      <c r="O9" s="15" t="s">
        <v>47</v>
      </c>
      <c r="P9" s="16"/>
      <c r="Q9" s="16">
        <v>1.8</v>
      </c>
      <c r="R9" s="16"/>
      <c r="S9" s="16"/>
      <c r="T9" s="8"/>
      <c r="U9" s="101" t="s">
        <v>74</v>
      </c>
      <c r="W9" s="26" t="s">
        <v>82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</row>
    <row r="10" spans="1:45" s="2" customFormat="1" ht="15" customHeight="1" x14ac:dyDescent="0.3">
      <c r="A10" s="26"/>
      <c r="B10" s="13" t="s">
        <v>8</v>
      </c>
      <c r="C10" s="14">
        <f>G6*K18</f>
        <v>88</v>
      </c>
      <c r="D10" s="133">
        <f>C10*C4</f>
        <v>246.39999999999998</v>
      </c>
      <c r="F10" s="14">
        <f>G5*K10</f>
        <v>72</v>
      </c>
      <c r="G10" s="137">
        <f>F10*C4</f>
        <v>201.6</v>
      </c>
      <c r="H10" s="26"/>
      <c r="I10" s="10" t="s">
        <v>12</v>
      </c>
      <c r="J10" s="11"/>
      <c r="K10" s="11">
        <v>12</v>
      </c>
      <c r="L10" s="11" t="s">
        <v>2</v>
      </c>
      <c r="M10" s="12" t="s">
        <v>14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</row>
    <row r="11" spans="1:45" s="2" customFormat="1" ht="18.75" thickBot="1" x14ac:dyDescent="0.4">
      <c r="A11" s="26"/>
      <c r="B11" s="13" t="s">
        <v>51</v>
      </c>
      <c r="C11" s="9">
        <f>(24-G6)*K18</f>
        <v>176</v>
      </c>
      <c r="D11" s="134">
        <f>C11*C4</f>
        <v>492.79999999999995</v>
      </c>
      <c r="F11" s="9">
        <f>(24-G5)*K11</f>
        <v>31.5</v>
      </c>
      <c r="G11" s="138">
        <f>F11*C4</f>
        <v>88.199999999999989</v>
      </c>
      <c r="H11" s="26"/>
      <c r="I11" s="13" t="s">
        <v>12</v>
      </c>
      <c r="K11" s="2">
        <v>1.75</v>
      </c>
      <c r="L11" s="2" t="s">
        <v>2</v>
      </c>
      <c r="M11" s="17" t="s">
        <v>9</v>
      </c>
      <c r="N11" s="26"/>
      <c r="O11" s="151" t="s">
        <v>21</v>
      </c>
      <c r="P11" s="152"/>
      <c r="Q11" s="152"/>
      <c r="R11" s="152"/>
      <c r="S11" s="152"/>
      <c r="T11" s="153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</row>
    <row r="12" spans="1:45" s="2" customFormat="1" ht="15" customHeight="1" x14ac:dyDescent="0.3">
      <c r="A12" s="26"/>
      <c r="B12" s="21" t="s">
        <v>29</v>
      </c>
      <c r="C12" s="74">
        <f>C10+C11</f>
        <v>264</v>
      </c>
      <c r="D12" s="135">
        <f>C12*C4</f>
        <v>739.19999999999993</v>
      </c>
      <c r="E12" s="22"/>
      <c r="F12" s="23">
        <f>SUM(F10:F11)</f>
        <v>103.5</v>
      </c>
      <c r="G12" s="139">
        <f>SUM(G10:G11)</f>
        <v>289.79999999999995</v>
      </c>
      <c r="H12" s="26"/>
      <c r="I12" s="13" t="s">
        <v>13</v>
      </c>
      <c r="K12" s="2">
        <f>VLOOKUP(G4,Staffel!N6:O15,2,FALSE)/(G5/G4)</f>
        <v>36.666666666666664</v>
      </c>
      <c r="L12" s="2" t="s">
        <v>36</v>
      </c>
      <c r="M12" s="17"/>
      <c r="N12" s="26"/>
      <c r="O12" s="10"/>
      <c r="Q12" s="88" t="s">
        <v>3</v>
      </c>
      <c r="R12" s="88" t="s">
        <v>0</v>
      </c>
      <c r="S12" s="11"/>
      <c r="T12" s="12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</row>
    <row r="13" spans="1:45" s="2" customFormat="1" ht="15" customHeight="1" x14ac:dyDescent="0.3">
      <c r="A13" s="26"/>
      <c r="B13" s="13"/>
      <c r="D13" s="133"/>
      <c r="G13" s="137"/>
      <c r="H13" s="26"/>
      <c r="I13" s="15" t="s">
        <v>45</v>
      </c>
      <c r="J13" s="16"/>
      <c r="K13" s="16">
        <v>90</v>
      </c>
      <c r="L13" s="16" t="s">
        <v>49</v>
      </c>
      <c r="M13" s="18"/>
      <c r="N13" s="26"/>
      <c r="O13" s="13" t="s">
        <v>20</v>
      </c>
      <c r="Q13" s="14">
        <f>(C12*Q8)</f>
        <v>40.92</v>
      </c>
      <c r="R13" s="14">
        <f>(F12*Q8)</f>
        <v>16.0425</v>
      </c>
      <c r="T13" s="17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</row>
    <row r="14" spans="1:45" s="2" customFormat="1" ht="15" customHeight="1" thickBot="1" x14ac:dyDescent="0.35">
      <c r="A14" s="26"/>
      <c r="B14" s="13" t="s">
        <v>10</v>
      </c>
      <c r="C14" s="2">
        <v>0</v>
      </c>
      <c r="D14" s="133">
        <f>C14*C5</f>
        <v>0</v>
      </c>
      <c r="F14" s="2">
        <f>G5*K12</f>
        <v>220</v>
      </c>
      <c r="G14" s="137">
        <f>F14*C5</f>
        <v>2633.4</v>
      </c>
      <c r="H14" s="26"/>
      <c r="I14" s="26"/>
      <c r="J14" s="26"/>
      <c r="K14" s="26"/>
      <c r="L14" s="26"/>
      <c r="M14" s="26"/>
      <c r="N14" s="26"/>
      <c r="O14" s="27" t="s">
        <v>55</v>
      </c>
      <c r="P14" s="9"/>
      <c r="Q14" s="9">
        <v>0</v>
      </c>
      <c r="R14" s="9">
        <f>(F14*Q9)</f>
        <v>396</v>
      </c>
      <c r="S14" s="72" t="s">
        <v>22</v>
      </c>
      <c r="T14" s="29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</row>
    <row r="15" spans="1:45" s="2" customFormat="1" ht="15" customHeight="1" x14ac:dyDescent="0.3">
      <c r="A15" s="26"/>
      <c r="B15" s="24" t="s">
        <v>53</v>
      </c>
      <c r="C15" s="25"/>
      <c r="D15" s="136">
        <f>D12+D14</f>
        <v>739.19999999999993</v>
      </c>
      <c r="E15" s="25"/>
      <c r="F15" s="25"/>
      <c r="G15" s="140">
        <f>G12+G14</f>
        <v>2923.2</v>
      </c>
      <c r="H15" s="26"/>
      <c r="I15" s="26"/>
      <c r="J15" s="26"/>
      <c r="K15" s="26"/>
      <c r="L15" s="26"/>
      <c r="M15" s="26"/>
      <c r="N15" s="26"/>
      <c r="O15" s="24" t="s">
        <v>29</v>
      </c>
      <c r="P15" s="28"/>
      <c r="Q15" s="28">
        <f>SUM(Q13:Q14)</f>
        <v>40.92</v>
      </c>
      <c r="R15" s="28">
        <f>SUM(R13:R14)</f>
        <v>412.04250000000002</v>
      </c>
      <c r="S15" s="28">
        <f>R15-Q15</f>
        <v>371.1225</v>
      </c>
      <c r="T15" s="30" t="s">
        <v>23</v>
      </c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</row>
    <row r="16" spans="1:45" s="2" customFormat="1" ht="15" customHeight="1" x14ac:dyDescent="0.3">
      <c r="A16" s="26"/>
      <c r="B16" s="26"/>
      <c r="C16" s="26"/>
      <c r="D16" s="26"/>
      <c r="E16" s="26"/>
      <c r="F16" s="26"/>
      <c r="G16" s="3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7" spans="1:45" s="2" customFormat="1" ht="18" x14ac:dyDescent="0.35">
      <c r="A17" s="26"/>
      <c r="B17" s="151" t="s">
        <v>11</v>
      </c>
      <c r="C17" s="152"/>
      <c r="D17" s="152"/>
      <c r="E17" s="152"/>
      <c r="F17" s="152"/>
      <c r="G17" s="153"/>
      <c r="H17" s="26"/>
      <c r="I17" s="156" t="s">
        <v>3</v>
      </c>
      <c r="J17" s="157"/>
      <c r="K17" s="157"/>
      <c r="L17" s="157"/>
      <c r="M17" s="158"/>
      <c r="N17" s="26"/>
      <c r="O17" s="65" t="s">
        <v>44</v>
      </c>
      <c r="P17" s="66"/>
      <c r="Q17" s="67"/>
      <c r="R17" s="38" t="s">
        <v>3</v>
      </c>
      <c r="S17" s="65"/>
      <c r="T17" s="67" t="s">
        <v>0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</row>
    <row r="18" spans="1:45" s="2" customFormat="1" ht="15" x14ac:dyDescent="0.3">
      <c r="A18" s="26"/>
      <c r="B18" s="10" t="s">
        <v>1</v>
      </c>
      <c r="C18" s="11"/>
      <c r="D18" s="11"/>
      <c r="E18" s="11"/>
      <c r="F18" s="11"/>
      <c r="G18" s="141">
        <f>G15/G4</f>
        <v>730.8</v>
      </c>
      <c r="H18" s="26"/>
      <c r="I18" s="10" t="s">
        <v>12</v>
      </c>
      <c r="J18" s="11"/>
      <c r="K18" s="11">
        <f>VLOOKUP(Compare!G4,Staffel!Q6:R15,2,FALSE)</f>
        <v>11</v>
      </c>
      <c r="L18" s="11" t="s">
        <v>2</v>
      </c>
      <c r="M18" s="12"/>
      <c r="N18" s="26"/>
      <c r="O18" s="10"/>
      <c r="P18" s="11"/>
      <c r="Q18" s="11"/>
      <c r="R18" s="11"/>
      <c r="S18" s="11"/>
      <c r="T18" s="12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</row>
    <row r="19" spans="1:45" s="2" customFormat="1" ht="15" customHeight="1" x14ac:dyDescent="0.3">
      <c r="A19" s="26"/>
      <c r="B19" s="15" t="s">
        <v>3</v>
      </c>
      <c r="C19" s="16"/>
      <c r="D19" s="16"/>
      <c r="E19" s="16"/>
      <c r="F19" s="16"/>
      <c r="G19" s="144">
        <f>D15/G4</f>
        <v>184.79999999999998</v>
      </c>
      <c r="H19" s="26"/>
      <c r="I19" s="13" t="s">
        <v>13</v>
      </c>
      <c r="K19" s="2">
        <v>0</v>
      </c>
      <c r="L19" s="2" t="s">
        <v>36</v>
      </c>
      <c r="M19" s="17"/>
      <c r="N19" s="26"/>
      <c r="O19" s="13" t="s">
        <v>18</v>
      </c>
      <c r="Q19" s="2" t="s">
        <v>37</v>
      </c>
      <c r="R19" s="2">
        <v>0</v>
      </c>
      <c r="T19" s="96">
        <f>F14*O5</f>
        <v>55000</v>
      </c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</row>
    <row r="20" spans="1:45" s="2" customFormat="1" ht="15" customHeight="1" x14ac:dyDescent="0.3">
      <c r="A20" s="26"/>
      <c r="B20" s="26"/>
      <c r="C20" s="26"/>
      <c r="D20" s="26"/>
      <c r="E20" s="26"/>
      <c r="F20" s="26"/>
      <c r="G20" s="26"/>
      <c r="I20" s="15" t="s">
        <v>45</v>
      </c>
      <c r="J20" s="16"/>
      <c r="K20" s="16">
        <v>120</v>
      </c>
      <c r="L20" s="16" t="s">
        <v>49</v>
      </c>
      <c r="M20" s="18"/>
      <c r="N20" s="26"/>
      <c r="O20" s="13"/>
      <c r="Q20" s="2" t="s">
        <v>66</v>
      </c>
      <c r="R20" s="2">
        <v>0</v>
      </c>
      <c r="T20" s="96">
        <f>T19*9.3</f>
        <v>511500.00000000006</v>
      </c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</row>
    <row r="21" spans="1:45" s="2" customFormat="1" ht="15" customHeight="1" x14ac:dyDescent="0.35">
      <c r="A21" s="26"/>
      <c r="B21" s="151" t="s">
        <v>42</v>
      </c>
      <c r="C21" s="152"/>
      <c r="D21" s="152"/>
      <c r="E21" s="152"/>
      <c r="F21" s="152"/>
      <c r="G21" s="153"/>
      <c r="H21" s="26"/>
      <c r="I21" s="26"/>
      <c r="J21" s="26"/>
      <c r="K21" s="26"/>
      <c r="L21" s="26"/>
      <c r="M21" s="26"/>
      <c r="N21" s="26"/>
      <c r="O21" s="13"/>
      <c r="Q21" s="22" t="s">
        <v>60</v>
      </c>
      <c r="R21" s="2">
        <v>0</v>
      </c>
      <c r="S21" s="22"/>
      <c r="T21" s="97">
        <f>T19</f>
        <v>55000</v>
      </c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</row>
    <row r="22" spans="1:45" s="2" customFormat="1" ht="15" customHeight="1" x14ac:dyDescent="0.3">
      <c r="A22" s="26"/>
      <c r="B22" s="10" t="s">
        <v>18</v>
      </c>
      <c r="C22" s="11"/>
      <c r="D22" s="11"/>
      <c r="E22" s="11"/>
      <c r="F22" s="11"/>
      <c r="G22" s="141">
        <f>O5*D15</f>
        <v>184799.99999999997</v>
      </c>
      <c r="H22" s="26"/>
      <c r="I22" s="26"/>
      <c r="J22" s="26"/>
      <c r="K22" s="26"/>
      <c r="L22" s="26"/>
      <c r="M22" s="26"/>
      <c r="N22" s="26"/>
      <c r="O22" s="13"/>
      <c r="T22" s="17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</row>
    <row r="23" spans="1:45" s="2" customFormat="1" ht="15" x14ac:dyDescent="0.3">
      <c r="A23" s="26"/>
      <c r="B23" s="13" t="s">
        <v>19</v>
      </c>
      <c r="G23" s="142">
        <f>(O4*24*K18*C4)</f>
        <v>85008</v>
      </c>
      <c r="H23" s="26"/>
      <c r="I23" s="26"/>
      <c r="J23" s="26"/>
      <c r="K23" s="26"/>
      <c r="L23" s="26"/>
      <c r="M23" s="26"/>
      <c r="N23" s="26"/>
      <c r="O23" s="13" t="s">
        <v>18</v>
      </c>
      <c r="Q23" s="2" t="s">
        <v>4</v>
      </c>
      <c r="R23" s="98">
        <f>C12*O5</f>
        <v>66000</v>
      </c>
      <c r="S23" s="98"/>
      <c r="T23" s="96">
        <f>F12*O5</f>
        <v>25875</v>
      </c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5" s="2" customFormat="1" ht="15" customHeight="1" x14ac:dyDescent="0.3">
      <c r="A24" s="26"/>
      <c r="B24" s="24" t="s">
        <v>29</v>
      </c>
      <c r="C24" s="25"/>
      <c r="D24" s="25"/>
      <c r="E24" s="25"/>
      <c r="F24" s="25"/>
      <c r="G24" s="143">
        <f>SUM(G22:G23)</f>
        <v>269808</v>
      </c>
      <c r="H24" s="26"/>
      <c r="I24" s="26"/>
      <c r="J24" s="26"/>
      <c r="K24" s="26"/>
      <c r="L24" s="26"/>
      <c r="M24" s="26"/>
      <c r="N24" s="26"/>
      <c r="O24" s="13" t="s">
        <v>19</v>
      </c>
      <c r="Q24" s="2" t="s">
        <v>4</v>
      </c>
      <c r="R24" s="98">
        <f>O4*24*K18</f>
        <v>30360</v>
      </c>
      <c r="S24" s="98"/>
      <c r="T24" s="96">
        <f>(O4*24*K11)</f>
        <v>4830</v>
      </c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s="2" customFormat="1" ht="15" customHeight="1" x14ac:dyDescent="0.3">
      <c r="A25" s="26"/>
      <c r="B25" s="34"/>
      <c r="C25" s="34"/>
      <c r="D25" s="34"/>
      <c r="E25" s="34"/>
      <c r="F25" s="34"/>
      <c r="G25" s="34"/>
      <c r="H25" s="26"/>
      <c r="I25" s="26"/>
      <c r="J25" s="26"/>
      <c r="K25" s="26"/>
      <c r="L25" s="26"/>
      <c r="M25" s="26"/>
      <c r="N25" s="26"/>
      <c r="O25" s="13"/>
      <c r="Q25" s="22" t="s">
        <v>58</v>
      </c>
      <c r="R25" s="99">
        <f>SUM(R23:R24)</f>
        <v>96360</v>
      </c>
      <c r="S25" s="99"/>
      <c r="T25" s="97">
        <f>SUM(T23:T24)</f>
        <v>30705</v>
      </c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s="2" customFormat="1" ht="18" x14ac:dyDescent="0.35">
      <c r="A26" s="26"/>
      <c r="B26" s="151" t="s">
        <v>43</v>
      </c>
      <c r="C26" s="152"/>
      <c r="D26" s="152"/>
      <c r="E26" s="152"/>
      <c r="F26" s="152"/>
      <c r="G26" s="153"/>
      <c r="H26" s="26"/>
      <c r="I26" s="26"/>
      <c r="J26" s="26"/>
      <c r="K26" s="26"/>
      <c r="L26" s="26"/>
      <c r="M26" s="26"/>
      <c r="N26" s="26"/>
      <c r="O26" s="13" t="s">
        <v>67</v>
      </c>
      <c r="Q26" s="2" t="s">
        <v>68</v>
      </c>
      <c r="R26" s="98">
        <v>0</v>
      </c>
      <c r="S26" s="98"/>
      <c r="T26" s="96">
        <f>T20</f>
        <v>511500.00000000006</v>
      </c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s="2" customFormat="1" ht="15" x14ac:dyDescent="0.3">
      <c r="A27" s="26"/>
      <c r="B27" s="10" t="s">
        <v>18</v>
      </c>
      <c r="C27" s="11"/>
      <c r="D27" s="11"/>
      <c r="E27" s="11"/>
      <c r="F27" s="11"/>
      <c r="G27" s="141">
        <f>O5*G15</f>
        <v>730800</v>
      </c>
      <c r="H27" s="26"/>
      <c r="I27" s="26"/>
      <c r="J27" s="26"/>
      <c r="K27" s="26"/>
      <c r="L27" s="26"/>
      <c r="M27" s="26"/>
      <c r="N27" s="26"/>
      <c r="O27" s="13" t="s">
        <v>69</v>
      </c>
      <c r="Q27" s="22" t="s">
        <v>70</v>
      </c>
      <c r="R27" s="99">
        <f>R25</f>
        <v>96360</v>
      </c>
      <c r="S27" s="98"/>
      <c r="T27" s="97">
        <f>T26+T25</f>
        <v>542205</v>
      </c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s="2" customFormat="1" ht="15" customHeight="1" x14ac:dyDescent="0.3">
      <c r="A28" s="26"/>
      <c r="B28" s="13" t="s">
        <v>19</v>
      </c>
      <c r="G28" s="142">
        <f>(O4*24*K11*C4)</f>
        <v>13524</v>
      </c>
      <c r="H28" s="26"/>
      <c r="I28" s="26"/>
      <c r="J28" s="26"/>
      <c r="K28" s="26"/>
      <c r="L28" s="26"/>
      <c r="M28" s="26"/>
      <c r="N28" s="26"/>
      <c r="O28" s="13"/>
      <c r="R28" s="98"/>
      <c r="S28" s="98"/>
      <c r="T28" s="9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s="2" customFormat="1" ht="15" customHeight="1" x14ac:dyDescent="0.4">
      <c r="A29" s="26"/>
      <c r="B29" s="24" t="s">
        <v>29</v>
      </c>
      <c r="C29" s="25"/>
      <c r="D29" s="25"/>
      <c r="E29" s="25"/>
      <c r="F29" s="25"/>
      <c r="G29" s="143">
        <f>SUM(G27:G28)</f>
        <v>744324</v>
      </c>
      <c r="H29" s="26"/>
      <c r="I29" s="26"/>
      <c r="J29" s="26"/>
      <c r="K29" s="26"/>
      <c r="L29" s="26"/>
      <c r="M29" s="26"/>
      <c r="N29" s="26"/>
      <c r="O29" s="13"/>
      <c r="Q29" s="2" t="s">
        <v>71</v>
      </c>
      <c r="R29" s="98">
        <v>0</v>
      </c>
      <c r="S29" s="98"/>
      <c r="T29" s="96">
        <f>T21*Q9</f>
        <v>99000</v>
      </c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</row>
    <row r="30" spans="1:45" s="2" customFormat="1" ht="15" customHeight="1" x14ac:dyDescent="0.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3"/>
      <c r="Q30" s="2" t="s">
        <v>72</v>
      </c>
      <c r="R30" s="98">
        <f>R25*Q8</f>
        <v>14935.8</v>
      </c>
      <c r="S30" s="98"/>
      <c r="T30" s="96">
        <f>T25*Q8</f>
        <v>4759.2749999999996</v>
      </c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s="2" customFormat="1" ht="15" x14ac:dyDescent="0.3">
      <c r="A31" s="26"/>
      <c r="B31" s="26"/>
      <c r="C31" s="26"/>
      <c r="D31" s="26"/>
      <c r="E31" s="26"/>
      <c r="F31" s="116" t="s">
        <v>79</v>
      </c>
      <c r="G31" s="145">
        <f>G29-G24</f>
        <v>474516</v>
      </c>
      <c r="H31" s="26"/>
      <c r="I31" s="26"/>
      <c r="J31" s="26"/>
      <c r="K31" s="26"/>
      <c r="L31" s="26"/>
      <c r="M31" s="26"/>
      <c r="N31" s="26"/>
      <c r="O31" s="13"/>
      <c r="Q31" s="22" t="s">
        <v>59</v>
      </c>
      <c r="R31" s="99">
        <f>SUM(R29:R30)</f>
        <v>14935.8</v>
      </c>
      <c r="S31" s="99"/>
      <c r="T31" s="97">
        <f>SUM(T29:T30)</f>
        <v>103759.27499999999</v>
      </c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s="2" customFormat="1" x14ac:dyDescent="0.3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3"/>
      <c r="Q32" s="117" t="s">
        <v>54</v>
      </c>
      <c r="R32" s="118">
        <f>R31/S5</f>
        <v>14.935799999999999</v>
      </c>
      <c r="S32" s="118"/>
      <c r="T32" s="119">
        <f>T31/S5</f>
        <v>103.75927499999999</v>
      </c>
      <c r="U32" s="150">
        <f>T32-R32</f>
        <v>88.823474999999988</v>
      </c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s="2" customFormat="1" ht="15.75" x14ac:dyDescent="0.3">
      <c r="A33" s="26"/>
      <c r="B33" s="94" t="s">
        <v>134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13"/>
      <c r="Q33" s="72"/>
      <c r="R33" s="99"/>
      <c r="S33" s="99"/>
      <c r="T33" s="97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s="2" customFormat="1" ht="15" customHeight="1" x14ac:dyDescent="0.3">
      <c r="A34" s="26"/>
      <c r="B34" s="94" t="s">
        <v>134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6"/>
      <c r="P34" s="25"/>
      <c r="Q34" s="120" t="s">
        <v>97</v>
      </c>
      <c r="R34" s="121">
        <f>R27/S5</f>
        <v>96.36</v>
      </c>
      <c r="S34" s="120"/>
      <c r="T34" s="122">
        <f>T27/S5</f>
        <v>542.20500000000004</v>
      </c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</row>
    <row r="35" spans="1:45" s="2" customFormat="1" ht="15" customHeight="1" x14ac:dyDescent="0.3">
      <c r="A35" s="26"/>
      <c r="B35" s="94" t="s">
        <v>133</v>
      </c>
      <c r="C35" s="26"/>
      <c r="D35" s="26"/>
      <c r="E35" s="26"/>
      <c r="F35" s="26"/>
      <c r="G35" s="130"/>
      <c r="H35" s="26"/>
      <c r="I35" s="26"/>
      <c r="J35" s="26"/>
      <c r="K35" s="26"/>
      <c r="L35" s="26"/>
      <c r="M35" s="26"/>
      <c r="N35" s="26"/>
      <c r="O35" s="123" t="s">
        <v>105</v>
      </c>
      <c r="P35" s="26"/>
      <c r="Q35" s="26"/>
      <c r="R35" s="26"/>
      <c r="S35" s="123" t="s">
        <v>55</v>
      </c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s="2" customFormat="1" ht="15" customHeight="1" x14ac:dyDescent="0.3">
      <c r="A36" s="26"/>
      <c r="B36" s="130">
        <v>10</v>
      </c>
      <c r="C36" s="26" t="s">
        <v>127</v>
      </c>
      <c r="D36" s="146">
        <v>1.34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26">
        <v>365</v>
      </c>
      <c r="P36" s="26" t="s">
        <v>103</v>
      </c>
      <c r="S36" s="123">
        <f>O36</f>
        <v>365</v>
      </c>
      <c r="T36" s="26" t="s">
        <v>103</v>
      </c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s="2" customFormat="1" ht="15" customHeight="1" x14ac:dyDescent="0.3">
      <c r="A37" s="26"/>
      <c r="B37" s="94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125">
        <f>O36*0.85</f>
        <v>310.25</v>
      </c>
      <c r="P37" s="26" t="s">
        <v>106</v>
      </c>
      <c r="S37" s="123">
        <f>S36*0.85</f>
        <v>310.25</v>
      </c>
      <c r="T37" s="26" t="s">
        <v>106</v>
      </c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s="2" customFormat="1" ht="15" customHeight="1" x14ac:dyDescent="0.3">
      <c r="A38" s="26"/>
      <c r="B38" s="131">
        <v>11.97</v>
      </c>
      <c r="C38" s="26" t="s">
        <v>127</v>
      </c>
      <c r="D38" s="147">
        <f>B38/B36*D36</f>
        <v>1.6039800000000002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24">
        <f>CEILING(R27/O37,1)</f>
        <v>311</v>
      </c>
      <c r="P38" s="26" t="s">
        <v>104</v>
      </c>
      <c r="S38" s="124">
        <f>CEILING(T25/S37,1)</f>
        <v>99</v>
      </c>
      <c r="T38" s="26" t="s">
        <v>104</v>
      </c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s="2" customFormat="1" ht="15" customHeight="1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</row>
    <row r="40" spans="1:45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</row>
    <row r="41" spans="1:45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6"/>
      <c r="P41" s="26"/>
      <c r="Q41" s="2"/>
      <c r="R41" s="26"/>
      <c r="S41" s="26"/>
      <c r="T41" s="26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</row>
    <row r="42" spans="1:45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6"/>
      <c r="P42" s="26"/>
      <c r="Q42" s="26"/>
      <c r="R42" s="26"/>
      <c r="S42" s="26"/>
      <c r="T42" s="26"/>
      <c r="U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1:45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</row>
    <row r="44" spans="1:45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</row>
    <row r="45" spans="1:45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</row>
    <row r="46" spans="1:45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6"/>
      <c r="P46" s="26"/>
      <c r="Q46" s="26"/>
      <c r="R46" s="26"/>
      <c r="S46" s="26"/>
      <c r="T46" s="26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</row>
    <row r="47" spans="1:45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6"/>
      <c r="P47" s="26"/>
      <c r="Q47" s="26"/>
      <c r="R47" s="26"/>
      <c r="S47" s="26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</row>
    <row r="48" spans="1:45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6"/>
      <c r="P48" s="26"/>
      <c r="Q48" s="26"/>
      <c r="R48" s="26"/>
      <c r="S48" s="26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</row>
    <row r="49" spans="1:45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6"/>
      <c r="P49" s="26"/>
      <c r="Q49" s="70"/>
      <c r="R49" s="26"/>
      <c r="S49" s="70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</row>
    <row r="50" spans="1:45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6"/>
      <c r="P50" s="26"/>
      <c r="Q50" s="26"/>
      <c r="R50" s="26"/>
      <c r="S50" s="26"/>
      <c r="T50" s="26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</row>
    <row r="51" spans="1:45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6"/>
      <c r="P51" s="26"/>
      <c r="Q51" s="26"/>
      <c r="R51" s="26"/>
      <c r="S51" s="26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</row>
    <row r="52" spans="1:45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6"/>
      <c r="P52" s="26"/>
      <c r="Q52" s="26"/>
      <c r="R52" s="26"/>
      <c r="S52" s="26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</row>
    <row r="53" spans="1:45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70"/>
      <c r="P53" s="70"/>
      <c r="Q53" s="71"/>
      <c r="R53" s="71"/>
      <c r="S53" s="70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</row>
    <row r="54" spans="1:45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</row>
    <row r="55" spans="1:45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</row>
    <row r="56" spans="1:45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</row>
    <row r="57" spans="1:45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</row>
    <row r="58" spans="1:45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</row>
    <row r="59" spans="1:45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</row>
    <row r="60" spans="1:45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</row>
    <row r="61" spans="1:45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</row>
    <row r="62" spans="1:45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</row>
    <row r="63" spans="1:45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</row>
    <row r="64" spans="1:45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</row>
    <row r="65" spans="1:45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</row>
    <row r="66" spans="1:45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</row>
    <row r="67" spans="1:45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</row>
    <row r="68" spans="1:45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</row>
    <row r="69" spans="1:45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</row>
    <row r="70" spans="1:45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</row>
    <row r="71" spans="1:45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</row>
    <row r="72" spans="1:45" x14ac:dyDescent="0.3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</row>
    <row r="73" spans="1:45" x14ac:dyDescent="0.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</row>
    <row r="74" spans="1:45" x14ac:dyDescent="0.3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</row>
    <row r="75" spans="1:45" x14ac:dyDescent="0.3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</row>
    <row r="76" spans="1:45" x14ac:dyDescent="0.3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</row>
    <row r="77" spans="1:45" x14ac:dyDescent="0.3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</row>
    <row r="78" spans="1:45" x14ac:dyDescent="0.3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</row>
    <row r="79" spans="1:45" x14ac:dyDescent="0.3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</row>
    <row r="80" spans="1:45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</row>
    <row r="81" spans="1:45" x14ac:dyDescent="0.3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</row>
    <row r="82" spans="1:45" x14ac:dyDescent="0.3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</row>
    <row r="83" spans="1:45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</row>
    <row r="84" spans="1:45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</row>
    <row r="85" spans="1:45" x14ac:dyDescent="0.3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</row>
    <row r="86" spans="1:45" x14ac:dyDescent="0.3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</row>
    <row r="87" spans="1:45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</row>
    <row r="88" spans="1:45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</row>
    <row r="89" spans="1:45" x14ac:dyDescent="0.3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</row>
    <row r="90" spans="1:45" x14ac:dyDescent="0.3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</row>
    <row r="91" spans="1:45" x14ac:dyDescent="0.3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</row>
    <row r="92" spans="1:45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</row>
    <row r="93" spans="1:45" x14ac:dyDescent="0.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</row>
    <row r="94" spans="1:45" x14ac:dyDescent="0.3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</row>
    <row r="95" spans="1:45" x14ac:dyDescent="0.3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</row>
    <row r="96" spans="1:45" x14ac:dyDescent="0.3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</row>
    <row r="97" spans="1:45" x14ac:dyDescent="0.3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</row>
    <row r="98" spans="1:45" x14ac:dyDescent="0.3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</row>
    <row r="99" spans="1:45" x14ac:dyDescent="0.3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</row>
    <row r="100" spans="1:45" x14ac:dyDescent="0.3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</row>
    <row r="101" spans="1:45" x14ac:dyDescent="0.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</row>
    <row r="102" spans="1:45" x14ac:dyDescent="0.3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</row>
    <row r="103" spans="1:45" x14ac:dyDescent="0.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</row>
    <row r="104" spans="1:45" x14ac:dyDescent="0.3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</row>
    <row r="105" spans="1:45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</row>
    <row r="106" spans="1:45" x14ac:dyDescent="0.3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</row>
    <row r="107" spans="1:45" x14ac:dyDescent="0.3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</row>
    <row r="108" spans="1:45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</row>
    <row r="109" spans="1:45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</row>
    <row r="110" spans="1:45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</row>
    <row r="111" spans="1:4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</row>
    <row r="112" spans="1:45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</row>
    <row r="113" spans="1:4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</row>
    <row r="114" spans="1:4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</row>
    <row r="115" spans="1:45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</row>
    <row r="116" spans="1:45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</row>
    <row r="117" spans="1:45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</row>
    <row r="118" spans="1:45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</row>
    <row r="119" spans="1:45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</row>
    <row r="120" spans="1:45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</row>
    <row r="121" spans="1:45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</row>
    <row r="122" spans="1:45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</row>
    <row r="123" spans="1:45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</row>
    <row r="124" spans="1:45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</row>
    <row r="125" spans="1:45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</row>
    <row r="126" spans="1:45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</row>
    <row r="127" spans="1:45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</row>
    <row r="128" spans="1:45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</row>
    <row r="129" spans="1:45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</row>
    <row r="130" spans="1:45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</row>
    <row r="131" spans="1:45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</row>
    <row r="132" spans="1:45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</row>
    <row r="133" spans="1:45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</row>
    <row r="134" spans="1:45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</row>
    <row r="135" spans="1:45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</row>
    <row r="136" spans="1:45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</row>
    <row r="137" spans="1:45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</row>
    <row r="138" spans="1:45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</row>
    <row r="139" spans="1:45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</row>
    <row r="140" spans="1:45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</row>
    <row r="141" spans="1:45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</row>
    <row r="142" spans="1:45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</row>
    <row r="143" spans="1:45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</row>
    <row r="144" spans="1:45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</row>
    <row r="145" spans="1:45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</row>
    <row r="146" spans="1:45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</row>
    <row r="147" spans="1:45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</row>
    <row r="148" spans="1:45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</row>
    <row r="149" spans="1:45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</row>
    <row r="150" spans="1:45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</row>
    <row r="151" spans="1:45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</row>
    <row r="152" spans="1:45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</row>
    <row r="153" spans="1:45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</row>
    <row r="154" spans="1:45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</row>
    <row r="155" spans="1:45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</row>
    <row r="156" spans="1:45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</row>
    <row r="157" spans="1:45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</row>
    <row r="158" spans="1:45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</row>
    <row r="159" spans="1:45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</row>
    <row r="160" spans="1:45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</row>
    <row r="161" spans="1:45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</row>
    <row r="162" spans="1:45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</row>
    <row r="163" spans="1:45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</row>
    <row r="164" spans="1:45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</row>
    <row r="165" spans="1:45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</row>
    <row r="166" spans="1:45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</row>
    <row r="167" spans="1:45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</row>
    <row r="168" spans="1:45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</row>
    <row r="169" spans="1:45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</row>
    <row r="170" spans="1:45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</row>
    <row r="171" spans="1:45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</row>
    <row r="172" spans="1:45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</row>
    <row r="173" spans="1:45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</row>
    <row r="174" spans="1:45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</row>
    <row r="175" spans="1:45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</row>
    <row r="176" spans="1:45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</row>
    <row r="177" spans="1:45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</row>
    <row r="178" spans="1:45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</row>
    <row r="179" spans="1:45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</row>
    <row r="180" spans="1:45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</row>
    <row r="181" spans="1:45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</row>
    <row r="182" spans="1:45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</row>
    <row r="183" spans="1:45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</row>
    <row r="184" spans="1:45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</row>
    <row r="185" spans="1:45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</row>
    <row r="186" spans="1:45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</row>
    <row r="187" spans="1:45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</row>
    <row r="188" spans="1:45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</row>
    <row r="189" spans="1:45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</row>
    <row r="190" spans="1:45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</row>
    <row r="191" spans="1:45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</row>
    <row r="192" spans="1:45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</row>
    <row r="193" spans="1:45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</row>
    <row r="194" spans="1:45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</row>
    <row r="195" spans="1:45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</row>
    <row r="196" spans="1:45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</row>
    <row r="197" spans="1:45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</row>
    <row r="198" spans="1:45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</row>
    <row r="199" spans="1:45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</row>
    <row r="200" spans="1:45" x14ac:dyDescent="0.3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</row>
    <row r="201" spans="1:45" x14ac:dyDescent="0.3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</row>
    <row r="202" spans="1:45" x14ac:dyDescent="0.3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</row>
    <row r="203" spans="1:45" x14ac:dyDescent="0.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</row>
    <row r="204" spans="1:45" x14ac:dyDescent="0.3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</row>
    <row r="205" spans="1:45" x14ac:dyDescent="0.3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</row>
    <row r="206" spans="1:45" x14ac:dyDescent="0.3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</row>
    <row r="207" spans="1:45" x14ac:dyDescent="0.3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</row>
    <row r="208" spans="1:45" x14ac:dyDescent="0.3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</row>
    <row r="209" spans="1:45" x14ac:dyDescent="0.3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</row>
    <row r="210" spans="1:45" x14ac:dyDescent="0.3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</row>
    <row r="211" spans="1:45" x14ac:dyDescent="0.3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</row>
    <row r="212" spans="1:45" x14ac:dyDescent="0.3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</row>
    <row r="213" spans="1:45" x14ac:dyDescent="0.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</row>
    <row r="214" spans="1:45" x14ac:dyDescent="0.3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</row>
    <row r="215" spans="1:45" x14ac:dyDescent="0.3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</row>
    <row r="216" spans="1:45" x14ac:dyDescent="0.3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</row>
    <row r="217" spans="1:45" x14ac:dyDescent="0.3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</row>
    <row r="218" spans="1:45" x14ac:dyDescent="0.3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</row>
    <row r="219" spans="1:45" x14ac:dyDescent="0.3">
      <c r="O219" s="34"/>
      <c r="P219" s="34"/>
      <c r="Q219" s="34"/>
      <c r="R219" s="34"/>
      <c r="S219" s="34"/>
      <c r="T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</row>
    <row r="220" spans="1:45" x14ac:dyDescent="0.3">
      <c r="O220" s="34"/>
      <c r="P220" s="34"/>
      <c r="Q220" s="34"/>
      <c r="R220" s="34"/>
      <c r="S220" s="34"/>
      <c r="T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</row>
    <row r="221" spans="1:45" x14ac:dyDescent="0.3">
      <c r="O221" s="34"/>
      <c r="P221" s="34"/>
      <c r="Q221" s="34"/>
      <c r="R221" s="34"/>
      <c r="S221" s="34"/>
      <c r="T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</row>
    <row r="222" spans="1:45" x14ac:dyDescent="0.3"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</row>
    <row r="223" spans="1:45" x14ac:dyDescent="0.3"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</row>
    <row r="224" spans="1:45" x14ac:dyDescent="0.3"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</row>
    <row r="225" spans="23:45" x14ac:dyDescent="0.3"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</row>
    <row r="226" spans="23:45" x14ac:dyDescent="0.3"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</row>
    <row r="227" spans="23:45" x14ac:dyDescent="0.3"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</row>
    <row r="228" spans="23:45" x14ac:dyDescent="0.3"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</row>
    <row r="229" spans="23:45" x14ac:dyDescent="0.3"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</row>
    <row r="230" spans="23:45" x14ac:dyDescent="0.3"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</row>
    <row r="231" spans="23:45" x14ac:dyDescent="0.3"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</row>
    <row r="232" spans="23:45" x14ac:dyDescent="0.3"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</row>
    <row r="233" spans="23:45" x14ac:dyDescent="0.3"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</row>
    <row r="234" spans="23:45" x14ac:dyDescent="0.3"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</row>
    <row r="235" spans="23:45" x14ac:dyDescent="0.3"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</row>
    <row r="236" spans="23:45" x14ac:dyDescent="0.3"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</row>
    <row r="237" spans="23:45" x14ac:dyDescent="0.3"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</row>
    <row r="238" spans="23:45" x14ac:dyDescent="0.3"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</row>
    <row r="239" spans="23:45" x14ac:dyDescent="0.3"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</row>
    <row r="240" spans="23:45" x14ac:dyDescent="0.3"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</row>
    <row r="241" spans="23:45" x14ac:dyDescent="0.3"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</row>
    <row r="242" spans="23:45" x14ac:dyDescent="0.3"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</row>
    <row r="243" spans="23:45" x14ac:dyDescent="0.3"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</row>
    <row r="244" spans="23:45" x14ac:dyDescent="0.3"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</row>
    <row r="245" spans="23:45" x14ac:dyDescent="0.3"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</row>
    <row r="246" spans="23:45" x14ac:dyDescent="0.3"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</row>
    <row r="247" spans="23:45" x14ac:dyDescent="0.3"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</row>
    <row r="248" spans="23:45" x14ac:dyDescent="0.3"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</row>
    <row r="249" spans="23:45" x14ac:dyDescent="0.3"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</row>
    <row r="250" spans="23:45" x14ac:dyDescent="0.3"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</row>
    <row r="251" spans="23:45" x14ac:dyDescent="0.3"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</row>
    <row r="252" spans="23:45" x14ac:dyDescent="0.3"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</row>
  </sheetData>
  <mergeCells count="13">
    <mergeCell ref="B26:G26"/>
    <mergeCell ref="B17:G17"/>
    <mergeCell ref="B9:D9"/>
    <mergeCell ref="I9:M9"/>
    <mergeCell ref="O2:T2"/>
    <mergeCell ref="I17:M17"/>
    <mergeCell ref="B21:G21"/>
    <mergeCell ref="O11:T11"/>
    <mergeCell ref="P4:Q4"/>
    <mergeCell ref="P5:Q5"/>
    <mergeCell ref="C8:D8"/>
    <mergeCell ref="F8:G8"/>
    <mergeCell ref="P7:T7"/>
  </mergeCells>
  <dataValidations disablePrompts="1" count="1">
    <dataValidation type="list" allowBlank="1" showInputMessage="1" showErrorMessage="1" sqref="G4" xr:uid="{DE007CFE-169B-4CB8-A410-C77546AD827F}">
      <formula1>"1,2,3,4,5,6,7,8,9,10,"</formula1>
    </dataValidation>
  </dataValidations>
  <hyperlinks>
    <hyperlink ref="U7" r:id="rId1" xr:uid="{7793022C-437A-49D0-A4F4-72652EC8844A}"/>
    <hyperlink ref="U9" r:id="rId2" xr:uid="{7E170C18-1922-4951-9A08-7F37D23BBD1F}"/>
    <hyperlink ref="B35" r:id="rId3" xr:uid="{8C2C4B42-354C-4F40-8F5E-DC2BBA7F0BBE}"/>
    <hyperlink ref="B34" r:id="rId4" xr:uid="{09D5A749-1B22-4EC8-A562-3D708D5619B6}"/>
    <hyperlink ref="B33" r:id="rId5" xr:uid="{3E5AF5A3-7DDA-4BF9-B048-F750F6BCA7D4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0448-2381-42F8-ABD0-FD1F0B2A1B50}">
  <dimension ref="A30:W39"/>
  <sheetViews>
    <sheetView tabSelected="1" zoomScale="70" zoomScaleNormal="70" workbookViewId="0">
      <selection activeCell="V40" sqref="V40"/>
    </sheetView>
  </sheetViews>
  <sheetFormatPr defaultRowHeight="15" x14ac:dyDescent="0.25"/>
  <cols>
    <col min="1" max="2" width="12.85546875" customWidth="1"/>
    <col min="3" max="6" width="26.140625" customWidth="1"/>
    <col min="7" max="7" width="39" customWidth="1"/>
    <col min="8" max="8" width="3.42578125" customWidth="1"/>
    <col min="9" max="10" width="12" bestFit="1" customWidth="1"/>
    <col min="11" max="12" width="28.7109375" bestFit="1" customWidth="1"/>
    <col min="13" max="13" width="26.85546875" bestFit="1" customWidth="1"/>
    <col min="14" max="15" width="28.7109375" bestFit="1" customWidth="1"/>
    <col min="16" max="16" width="3.7109375" customWidth="1"/>
    <col min="17" max="17" width="17.42578125" customWidth="1"/>
    <col min="18" max="18" width="19.5703125" customWidth="1"/>
    <col min="19" max="19" width="21.140625" customWidth="1"/>
    <col min="20" max="22" width="30.85546875" customWidth="1"/>
    <col min="23" max="23" width="11.5703125" bestFit="1" customWidth="1"/>
  </cols>
  <sheetData>
    <row r="30" spans="1:23" ht="29.25" x14ac:dyDescent="0.25">
      <c r="A30" s="166" t="s">
        <v>89</v>
      </c>
      <c r="B30" s="167"/>
      <c r="C30" s="167"/>
      <c r="D30" s="167"/>
      <c r="E30" s="167"/>
      <c r="F30" s="167"/>
      <c r="G30" s="167"/>
      <c r="I30" s="166" t="s">
        <v>90</v>
      </c>
      <c r="J30" s="167"/>
      <c r="K30" s="167"/>
      <c r="L30" s="167"/>
      <c r="M30" s="167"/>
      <c r="N30" s="167"/>
      <c r="O30" s="167"/>
      <c r="Q30" s="166" t="s">
        <v>109</v>
      </c>
      <c r="R30" s="167"/>
      <c r="S30" s="167"/>
      <c r="T30" s="167"/>
      <c r="U30" s="167"/>
      <c r="V30" s="167"/>
      <c r="W30" s="167"/>
    </row>
    <row r="31" spans="1:23" ht="25.5" x14ac:dyDescent="0.25">
      <c r="A31" s="102" t="s">
        <v>83</v>
      </c>
      <c r="B31" s="103" t="s">
        <v>83</v>
      </c>
      <c r="C31" s="115" t="s">
        <v>3</v>
      </c>
      <c r="D31" s="163" t="s">
        <v>0</v>
      </c>
      <c r="E31" s="164"/>
      <c r="F31" s="165"/>
      <c r="G31" s="104" t="s">
        <v>85</v>
      </c>
      <c r="I31" s="102" t="s">
        <v>83</v>
      </c>
      <c r="J31" s="103" t="s">
        <v>83</v>
      </c>
      <c r="K31" s="115" t="s">
        <v>3</v>
      </c>
      <c r="L31" s="163" t="s">
        <v>0</v>
      </c>
      <c r="M31" s="164"/>
      <c r="N31" s="165"/>
      <c r="O31" s="104" t="s">
        <v>84</v>
      </c>
      <c r="Q31" s="102" t="s">
        <v>83</v>
      </c>
      <c r="R31" s="103" t="s">
        <v>83</v>
      </c>
      <c r="S31" s="115" t="s">
        <v>3</v>
      </c>
      <c r="T31" s="163" t="s">
        <v>0</v>
      </c>
      <c r="U31" s="164"/>
      <c r="V31" s="165"/>
      <c r="W31" s="104" t="s">
        <v>102</v>
      </c>
    </row>
    <row r="32" spans="1:23" ht="18" x14ac:dyDescent="0.25">
      <c r="A32" s="102" t="s">
        <v>86</v>
      </c>
      <c r="B32" s="103" t="s">
        <v>87</v>
      </c>
      <c r="C32" s="104" t="s">
        <v>2</v>
      </c>
      <c r="D32" s="104" t="s">
        <v>93</v>
      </c>
      <c r="E32" s="104" t="s">
        <v>91</v>
      </c>
      <c r="F32" s="104" t="s">
        <v>92</v>
      </c>
      <c r="G32" s="104" t="s">
        <v>88</v>
      </c>
      <c r="I32" s="102" t="s">
        <v>86</v>
      </c>
      <c r="J32" s="103" t="s">
        <v>87</v>
      </c>
      <c r="K32" s="104" t="s">
        <v>94</v>
      </c>
      <c r="L32" s="104" t="s">
        <v>95</v>
      </c>
      <c r="M32" s="104" t="s">
        <v>94</v>
      </c>
      <c r="N32" s="104" t="s">
        <v>96</v>
      </c>
      <c r="O32" s="104" t="s">
        <v>88</v>
      </c>
      <c r="Q32" s="102" t="s">
        <v>86</v>
      </c>
      <c r="R32" s="103" t="s">
        <v>87</v>
      </c>
      <c r="S32" s="104" t="s">
        <v>98</v>
      </c>
      <c r="T32" s="104" t="s">
        <v>99</v>
      </c>
      <c r="U32" s="104" t="s">
        <v>100</v>
      </c>
      <c r="V32" s="104" t="s">
        <v>101</v>
      </c>
      <c r="W32" s="104" t="s">
        <v>88</v>
      </c>
    </row>
    <row r="33" spans="1:23" ht="25.5" x14ac:dyDescent="0.25">
      <c r="A33" s="105">
        <v>2</v>
      </c>
      <c r="B33" s="106">
        <v>500</v>
      </c>
      <c r="C33" s="107">
        <v>131400</v>
      </c>
      <c r="D33" s="108">
        <f t="shared" ref="D33:D39" si="0">F33+E33</f>
        <v>395017.5</v>
      </c>
      <c r="E33" s="108">
        <v>23017.5</v>
      </c>
      <c r="F33" s="108">
        <v>372000</v>
      </c>
      <c r="G33" s="109">
        <f t="shared" ref="G33:G39" si="1">(D33-C33)/D33</f>
        <v>0.66735650952173009</v>
      </c>
      <c r="I33" s="105">
        <v>2</v>
      </c>
      <c r="J33" s="106">
        <v>500</v>
      </c>
      <c r="K33" s="148">
        <f>C33*Compare!$C$4</f>
        <v>367920</v>
      </c>
      <c r="L33" s="148">
        <f t="shared" ref="L33:L39" si="2">N33+M33</f>
        <v>544971.30215827341</v>
      </c>
      <c r="M33" s="148">
        <f>E33*Compare!$C$4</f>
        <v>64448.999999999993</v>
      </c>
      <c r="N33" s="148">
        <f>F33*Compare!$C$6</f>
        <v>480522.30215827341</v>
      </c>
      <c r="O33" s="148">
        <f t="shared" ref="O33:O39" si="3">L33-K33</f>
        <v>177051.30215827341</v>
      </c>
      <c r="Q33" s="105">
        <v>2</v>
      </c>
      <c r="R33" s="106">
        <v>500</v>
      </c>
      <c r="S33" s="108">
        <f>C33*Compare!$Q$8</f>
        <v>20367</v>
      </c>
      <c r="T33" s="108">
        <f t="shared" ref="T33:T39" si="4">V33+U33</f>
        <v>75567.712499999994</v>
      </c>
      <c r="U33" s="108">
        <f>E33*Compare!$Q$8</f>
        <v>3567.7125000000001</v>
      </c>
      <c r="V33" s="108">
        <f>F33*Compare!$Q$9/9.3</f>
        <v>72000</v>
      </c>
      <c r="W33" s="109">
        <f t="shared" ref="W33:W39" si="5">(T33-S33)/T33</f>
        <v>0.73048013065103701</v>
      </c>
    </row>
    <row r="34" spans="1:23" ht="25.5" x14ac:dyDescent="0.25">
      <c r="A34" s="110">
        <v>3</v>
      </c>
      <c r="B34" s="111">
        <v>750</v>
      </c>
      <c r="C34" s="112">
        <v>105120</v>
      </c>
      <c r="D34" s="113">
        <f t="shared" si="0"/>
        <v>445361.25</v>
      </c>
      <c r="E34" s="113">
        <v>26861.25</v>
      </c>
      <c r="F34" s="113">
        <v>418500</v>
      </c>
      <c r="G34" s="114">
        <f t="shared" si="1"/>
        <v>0.76396689204550239</v>
      </c>
      <c r="I34" s="110">
        <v>3</v>
      </c>
      <c r="J34" s="111">
        <v>750</v>
      </c>
      <c r="K34" s="149">
        <f>C34*Compare!$C$4</f>
        <v>294336</v>
      </c>
      <c r="L34" s="149">
        <f t="shared" si="2"/>
        <v>615799.08992805763</v>
      </c>
      <c r="M34" s="149">
        <f>E34*Compare!$C$4</f>
        <v>75211.5</v>
      </c>
      <c r="N34" s="149">
        <f>F34*Compare!$C$6</f>
        <v>540587.58992805763</v>
      </c>
      <c r="O34" s="149">
        <f t="shared" si="3"/>
        <v>321463.08992805763</v>
      </c>
      <c r="Q34" s="110">
        <v>3</v>
      </c>
      <c r="R34" s="111">
        <v>750</v>
      </c>
      <c r="S34" s="113">
        <f>C34*Compare!$Q$8</f>
        <v>16293.6</v>
      </c>
      <c r="T34" s="113">
        <f t="shared" si="4"/>
        <v>85163.493749999994</v>
      </c>
      <c r="U34" s="113">
        <f>E34*Compare!$Q$8</f>
        <v>4163.4937499999996</v>
      </c>
      <c r="V34" s="113">
        <f>F34*Compare!$Q$9/9.3</f>
        <v>81000</v>
      </c>
      <c r="W34" s="114">
        <f t="shared" si="5"/>
        <v>0.80867858653344638</v>
      </c>
    </row>
    <row r="35" spans="1:23" ht="25.5" x14ac:dyDescent="0.25">
      <c r="A35" s="105">
        <v>4</v>
      </c>
      <c r="B35" s="106">
        <v>1000</v>
      </c>
      <c r="C35" s="107">
        <v>96360</v>
      </c>
      <c r="D35" s="108">
        <f t="shared" si="0"/>
        <v>542205</v>
      </c>
      <c r="E35" s="108">
        <v>30705</v>
      </c>
      <c r="F35" s="108">
        <v>511500</v>
      </c>
      <c r="G35" s="109">
        <f t="shared" si="1"/>
        <v>0.82228124049022044</v>
      </c>
      <c r="I35" s="105">
        <v>4</v>
      </c>
      <c r="J35" s="106">
        <v>1000</v>
      </c>
      <c r="K35" s="148">
        <f>C35*Compare!$C$4</f>
        <v>269808</v>
      </c>
      <c r="L35" s="148">
        <f t="shared" si="2"/>
        <v>746692.16546762595</v>
      </c>
      <c r="M35" s="148">
        <f>E35*Compare!$C$4</f>
        <v>85974</v>
      </c>
      <c r="N35" s="148">
        <f>F35*Compare!$C$6</f>
        <v>660718.16546762595</v>
      </c>
      <c r="O35" s="148">
        <f t="shared" si="3"/>
        <v>476884.16546762595</v>
      </c>
      <c r="Q35" s="105">
        <v>4</v>
      </c>
      <c r="R35" s="106">
        <v>1000</v>
      </c>
      <c r="S35" s="108">
        <f>C35*Compare!$Q$8</f>
        <v>14935.8</v>
      </c>
      <c r="T35" s="108">
        <f t="shared" si="4"/>
        <v>103759.27499999998</v>
      </c>
      <c r="U35" s="108">
        <f>E35*Compare!$Q$8</f>
        <v>4759.2749999999996</v>
      </c>
      <c r="V35" s="108">
        <f>F35*Compare!$Q$9/9.3</f>
        <v>98999.999999999985</v>
      </c>
      <c r="W35" s="109">
        <f t="shared" si="5"/>
        <v>0.85605335041132458</v>
      </c>
    </row>
    <row r="36" spans="1:23" ht="25.5" x14ac:dyDescent="0.25">
      <c r="A36" s="110">
        <v>5</v>
      </c>
      <c r="B36" s="111">
        <v>1250</v>
      </c>
      <c r="C36" s="112">
        <v>87600</v>
      </c>
      <c r="D36" s="113">
        <f t="shared" si="0"/>
        <v>557673.75</v>
      </c>
      <c r="E36" s="113">
        <v>34548.75</v>
      </c>
      <c r="F36" s="113">
        <v>523125</v>
      </c>
      <c r="G36" s="114">
        <f t="shared" si="1"/>
        <v>0.84291891092238069</v>
      </c>
      <c r="I36" s="110">
        <v>5</v>
      </c>
      <c r="J36" s="111">
        <v>1250</v>
      </c>
      <c r="K36" s="149">
        <f>C36*Compare!$C$4</f>
        <v>245279.99999999997</v>
      </c>
      <c r="L36" s="149">
        <f t="shared" si="2"/>
        <v>772470.987410072</v>
      </c>
      <c r="M36" s="149">
        <f>E36*Compare!$C$4</f>
        <v>96736.5</v>
      </c>
      <c r="N36" s="149">
        <f>F36*Compare!$C$6</f>
        <v>675734.487410072</v>
      </c>
      <c r="O36" s="149">
        <f t="shared" si="3"/>
        <v>527190.987410072</v>
      </c>
      <c r="Q36" s="110">
        <v>5</v>
      </c>
      <c r="R36" s="111">
        <v>1250</v>
      </c>
      <c r="S36" s="113">
        <f>C36*Compare!$Q$8</f>
        <v>13578</v>
      </c>
      <c r="T36" s="113">
        <f t="shared" si="4"/>
        <v>106605.05624999998</v>
      </c>
      <c r="U36" s="113">
        <f>E36*Compare!$Q$8</f>
        <v>5355.0562499999996</v>
      </c>
      <c r="V36" s="113">
        <f>F36*Compare!$Q$9/9.3</f>
        <v>101249.99999999999</v>
      </c>
      <c r="W36" s="114">
        <f t="shared" si="5"/>
        <v>0.87263268293618101</v>
      </c>
    </row>
    <row r="37" spans="1:23" ht="25.5" x14ac:dyDescent="0.25">
      <c r="A37" s="105">
        <v>6</v>
      </c>
      <c r="B37" s="106">
        <v>1500</v>
      </c>
      <c r="C37" s="107">
        <v>78840</v>
      </c>
      <c r="D37" s="108">
        <f t="shared" si="0"/>
        <v>484792.5</v>
      </c>
      <c r="E37" s="108">
        <v>38392.5</v>
      </c>
      <c r="F37" s="108">
        <v>446400</v>
      </c>
      <c r="G37" s="109">
        <f t="shared" si="1"/>
        <v>0.83737372174693292</v>
      </c>
      <c r="I37" s="105">
        <v>6</v>
      </c>
      <c r="J37" s="106">
        <v>1500</v>
      </c>
      <c r="K37" s="148">
        <f>C37*Compare!$C$4</f>
        <v>220752</v>
      </c>
      <c r="L37" s="148">
        <f t="shared" si="2"/>
        <v>684125.76258992811</v>
      </c>
      <c r="M37" s="148">
        <f>E37*Compare!$C$4</f>
        <v>107499</v>
      </c>
      <c r="N37" s="148">
        <f>F37*Compare!$C$6</f>
        <v>576626.76258992811</v>
      </c>
      <c r="O37" s="148">
        <f t="shared" si="3"/>
        <v>463373.76258992811</v>
      </c>
      <c r="Q37" s="105">
        <v>6</v>
      </c>
      <c r="R37" s="106">
        <v>1500</v>
      </c>
      <c r="S37" s="108">
        <f>C37*Compare!$Q$8</f>
        <v>12220.2</v>
      </c>
      <c r="T37" s="108">
        <f t="shared" si="4"/>
        <v>92350.837499999994</v>
      </c>
      <c r="U37" s="108">
        <f>E37*Compare!$Q$8</f>
        <v>5950.8374999999996</v>
      </c>
      <c r="V37" s="108">
        <f>F37*Compare!$Q$9/9.3</f>
        <v>86400</v>
      </c>
      <c r="W37" s="109">
        <f t="shared" si="5"/>
        <v>0.86767634890154621</v>
      </c>
    </row>
    <row r="38" spans="1:23" ht="25.5" x14ac:dyDescent="0.25">
      <c r="A38" s="110">
        <v>7</v>
      </c>
      <c r="B38" s="111">
        <v>1750</v>
      </c>
      <c r="C38" s="112">
        <v>70080</v>
      </c>
      <c r="D38" s="113">
        <f t="shared" si="0"/>
        <v>530486.25</v>
      </c>
      <c r="E38" s="113">
        <v>42236.25</v>
      </c>
      <c r="F38" s="113">
        <v>488250</v>
      </c>
      <c r="G38" s="114">
        <f t="shared" si="1"/>
        <v>0.86789478520885321</v>
      </c>
      <c r="I38" s="110">
        <v>7</v>
      </c>
      <c r="J38" s="111">
        <v>1750</v>
      </c>
      <c r="K38" s="149">
        <f>C38*Compare!$C$4</f>
        <v>196224</v>
      </c>
      <c r="L38" s="149">
        <f t="shared" si="2"/>
        <v>748947.02158273384</v>
      </c>
      <c r="M38" s="149">
        <f>E38*Compare!$C$4</f>
        <v>118261.49999999999</v>
      </c>
      <c r="N38" s="149">
        <f>F38*Compare!$C$6</f>
        <v>630685.52158273384</v>
      </c>
      <c r="O38" s="149">
        <f t="shared" si="3"/>
        <v>552723.02158273384</v>
      </c>
      <c r="Q38" s="110">
        <v>7</v>
      </c>
      <c r="R38" s="111">
        <v>1750</v>
      </c>
      <c r="S38" s="113">
        <f>C38*Compare!$Q$8</f>
        <v>10862.4</v>
      </c>
      <c r="T38" s="113">
        <f t="shared" si="4"/>
        <v>101046.61874999999</v>
      </c>
      <c r="U38" s="113">
        <f>E38*Compare!$Q$8</f>
        <v>6546.6187499999996</v>
      </c>
      <c r="V38" s="113">
        <f>F38*Compare!$Q$9/9.3</f>
        <v>94500</v>
      </c>
      <c r="W38" s="114">
        <f t="shared" si="5"/>
        <v>0.89250110360570578</v>
      </c>
    </row>
    <row r="39" spans="1:23" ht="25.5" x14ac:dyDescent="0.25">
      <c r="A39" s="105">
        <v>8</v>
      </c>
      <c r="B39" s="106">
        <v>2000</v>
      </c>
      <c r="C39" s="107">
        <v>70080</v>
      </c>
      <c r="D39" s="108">
        <f t="shared" si="0"/>
        <v>511080</v>
      </c>
      <c r="E39" s="108">
        <v>46080</v>
      </c>
      <c r="F39" s="108">
        <v>465000</v>
      </c>
      <c r="G39" s="109">
        <f t="shared" si="1"/>
        <v>0.862878610002348</v>
      </c>
      <c r="I39" s="105">
        <v>8</v>
      </c>
      <c r="J39" s="106">
        <v>2000</v>
      </c>
      <c r="K39" s="148">
        <f>C39*Compare!$C$4</f>
        <v>196224</v>
      </c>
      <c r="L39" s="148">
        <f t="shared" si="2"/>
        <v>729676.87769784173</v>
      </c>
      <c r="M39" s="148">
        <f>E39*Compare!$C$4</f>
        <v>129023.99999999999</v>
      </c>
      <c r="N39" s="148">
        <f>F39*Compare!$C$6</f>
        <v>600652.87769784173</v>
      </c>
      <c r="O39" s="148">
        <f t="shared" si="3"/>
        <v>533452.87769784173</v>
      </c>
      <c r="Q39" s="105">
        <v>8</v>
      </c>
      <c r="R39" s="106">
        <v>2000</v>
      </c>
      <c r="S39" s="108">
        <f>C39*Compare!$Q$8</f>
        <v>10862.4</v>
      </c>
      <c r="T39" s="108">
        <f t="shared" si="4"/>
        <v>97142.399999999994</v>
      </c>
      <c r="U39" s="108">
        <f>E39*Compare!$Q$8</f>
        <v>7142.4</v>
      </c>
      <c r="V39" s="108">
        <f>F39*Compare!$Q$9/9.3</f>
        <v>90000</v>
      </c>
      <c r="W39" s="109">
        <f t="shared" si="5"/>
        <v>0.88818065026188364</v>
      </c>
    </row>
  </sheetData>
  <mergeCells count="6">
    <mergeCell ref="D31:F31"/>
    <mergeCell ref="A30:G30"/>
    <mergeCell ref="I30:O30"/>
    <mergeCell ref="L31:N31"/>
    <mergeCell ref="Q30:W30"/>
    <mergeCell ref="T31:V3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B2:R18"/>
  <sheetViews>
    <sheetView zoomScale="90" zoomScaleNormal="90" workbookViewId="0">
      <selection activeCell="E15" sqref="E15"/>
    </sheetView>
  </sheetViews>
  <sheetFormatPr defaultColWidth="9.140625" defaultRowHeight="16.5" x14ac:dyDescent="0.3"/>
  <cols>
    <col min="1" max="1" width="7.42578125" style="39" customWidth="1"/>
    <col min="2" max="2" width="8.42578125" style="39" bestFit="1" customWidth="1"/>
    <col min="3" max="3" width="9.140625" style="39"/>
    <col min="4" max="4" width="12.28515625" style="39" bestFit="1" customWidth="1"/>
    <col min="5" max="5" width="9.85546875" style="39" bestFit="1" customWidth="1"/>
    <col min="6" max="6" width="10.42578125" style="39" bestFit="1" customWidth="1"/>
    <col min="7" max="7" width="9.140625" style="39"/>
    <col min="8" max="8" width="9.7109375" style="39" bestFit="1" customWidth="1"/>
    <col min="9" max="9" width="8.42578125" style="39" bestFit="1" customWidth="1"/>
    <col min="10" max="10" width="9.140625" style="39"/>
    <col min="11" max="11" width="12.28515625" style="39" bestFit="1" customWidth="1"/>
    <col min="12" max="12" width="9.85546875" style="39" bestFit="1" customWidth="1"/>
    <col min="13" max="16" width="9.140625" style="39"/>
    <col min="17" max="17" width="9.28515625" style="39" bestFit="1" customWidth="1"/>
    <col min="18" max="16384" width="9.140625" style="39"/>
  </cols>
  <sheetData>
    <row r="2" spans="2:18" ht="21" x14ac:dyDescent="0.4">
      <c r="B2" s="168" t="s">
        <v>24</v>
      </c>
      <c r="C2" s="169"/>
      <c r="D2" s="169"/>
      <c r="E2" s="169"/>
      <c r="F2" s="170"/>
      <c r="H2" s="168" t="s">
        <v>25</v>
      </c>
      <c r="I2" s="169"/>
      <c r="J2" s="169"/>
      <c r="K2" s="169"/>
      <c r="L2" s="170"/>
      <c r="N2" s="168" t="s">
        <v>26</v>
      </c>
      <c r="O2" s="169"/>
      <c r="P2" s="169"/>
      <c r="Q2" s="169"/>
      <c r="R2" s="170"/>
    </row>
    <row r="3" spans="2:18" ht="14.45" customHeight="1" x14ac:dyDescent="0.3">
      <c r="B3" s="42" t="s">
        <v>27</v>
      </c>
      <c r="C3" s="40"/>
      <c r="D3" s="40"/>
      <c r="E3" s="40">
        <v>12.0107</v>
      </c>
      <c r="F3" s="41" t="s">
        <v>28</v>
      </c>
      <c r="H3" s="53" t="s">
        <v>27</v>
      </c>
      <c r="I3" s="54"/>
      <c r="J3" s="54"/>
      <c r="K3" s="40">
        <v>12.0107</v>
      </c>
      <c r="L3" s="41" t="s">
        <v>28</v>
      </c>
      <c r="N3" s="42"/>
      <c r="Q3" s="40"/>
      <c r="R3" s="41"/>
    </row>
    <row r="4" spans="2:18" x14ac:dyDescent="0.3">
      <c r="B4" s="44" t="s">
        <v>30</v>
      </c>
      <c r="E4" s="39">
        <v>44.01</v>
      </c>
      <c r="F4" s="43" t="s">
        <v>28</v>
      </c>
      <c r="H4" s="55" t="s">
        <v>30</v>
      </c>
      <c r="I4" s="56"/>
      <c r="J4" s="56"/>
      <c r="K4" s="39">
        <v>44.01</v>
      </c>
      <c r="L4" s="43" t="s">
        <v>28</v>
      </c>
      <c r="N4" s="44"/>
      <c r="R4" s="43"/>
    </row>
    <row r="5" spans="2:18" x14ac:dyDescent="0.3">
      <c r="B5" s="44"/>
      <c r="F5" s="43"/>
      <c r="H5" s="44"/>
      <c r="L5" s="43"/>
      <c r="N5" s="44"/>
      <c r="R5" s="43"/>
    </row>
    <row r="6" spans="2:18" ht="19.5" x14ac:dyDescent="0.4">
      <c r="B6" s="62" t="s">
        <v>31</v>
      </c>
      <c r="C6" s="60"/>
      <c r="E6" s="60" t="s">
        <v>61</v>
      </c>
      <c r="F6" s="61"/>
      <c r="H6" s="57" t="s">
        <v>31</v>
      </c>
      <c r="I6" s="58"/>
      <c r="K6" s="58" t="s">
        <v>62</v>
      </c>
      <c r="L6" s="59"/>
      <c r="N6" s="44"/>
      <c r="R6" s="43"/>
    </row>
    <row r="7" spans="2:18" x14ac:dyDescent="0.3">
      <c r="B7" s="44" t="s">
        <v>32</v>
      </c>
      <c r="C7" s="92">
        <f>E13</f>
        <v>17.25</v>
      </c>
      <c r="E7" s="39" t="s">
        <v>32</v>
      </c>
      <c r="F7" s="89">
        <f>(F8*E4)/1000</f>
        <v>63.208014520385987</v>
      </c>
      <c r="H7" s="44" t="s">
        <v>32</v>
      </c>
      <c r="I7" s="92">
        <f>E18</f>
        <v>13.5</v>
      </c>
      <c r="K7" s="39" t="s">
        <v>32</v>
      </c>
      <c r="L7" s="89">
        <f>(L8*K4)/1000</f>
        <v>49.467141798562949</v>
      </c>
      <c r="N7" s="44"/>
      <c r="R7" s="43"/>
    </row>
    <row r="8" spans="2:18" ht="18.75" x14ac:dyDescent="0.4">
      <c r="B8" s="45" t="s">
        <v>33</v>
      </c>
      <c r="C8" s="93">
        <f>C7*1000/E3</f>
        <v>1436.2193710608042</v>
      </c>
      <c r="D8" s="46"/>
      <c r="E8" s="46" t="s">
        <v>33</v>
      </c>
      <c r="F8" s="90">
        <f>C8</f>
        <v>1436.2193710608042</v>
      </c>
      <c r="H8" s="45" t="s">
        <v>33</v>
      </c>
      <c r="I8" s="93">
        <f>I7*1000/K3</f>
        <v>1123.9977686562816</v>
      </c>
      <c r="J8" s="46"/>
      <c r="K8" s="46" t="s">
        <v>33</v>
      </c>
      <c r="L8" s="90">
        <f>I8</f>
        <v>1123.9977686562816</v>
      </c>
      <c r="N8" s="47" t="s">
        <v>29</v>
      </c>
      <c r="O8" s="48" t="s">
        <v>64</v>
      </c>
      <c r="P8" s="91">
        <f>F7+L7</f>
        <v>112.67515631894894</v>
      </c>
      <c r="Q8" s="46"/>
      <c r="R8" s="49"/>
    </row>
    <row r="12" spans="2:18" ht="17.25" x14ac:dyDescent="0.35">
      <c r="B12" s="63" t="s">
        <v>34</v>
      </c>
      <c r="C12" s="40"/>
      <c r="D12" s="40"/>
      <c r="E12" s="52">
        <v>75</v>
      </c>
      <c r="F12" s="41" t="s">
        <v>23</v>
      </c>
      <c r="H12" s="64"/>
      <c r="I12" s="64"/>
    </row>
    <row r="13" spans="2:18" x14ac:dyDescent="0.3">
      <c r="B13" s="51">
        <v>0.23</v>
      </c>
      <c r="C13" s="46" t="s">
        <v>35</v>
      </c>
      <c r="D13" s="46"/>
      <c r="E13" s="46">
        <f>E12*B13</f>
        <v>17.25</v>
      </c>
      <c r="F13" s="49" t="s">
        <v>23</v>
      </c>
      <c r="H13" s="64"/>
      <c r="I13" s="64"/>
    </row>
    <row r="14" spans="2:18" x14ac:dyDescent="0.3">
      <c r="B14" s="39" t="s">
        <v>73</v>
      </c>
    </row>
    <row r="15" spans="2:18" x14ac:dyDescent="0.3">
      <c r="B15" s="50"/>
    </row>
    <row r="16" spans="2:18" x14ac:dyDescent="0.3">
      <c r="B16" s="50"/>
    </row>
    <row r="17" spans="2:6" ht="17.25" x14ac:dyDescent="0.35">
      <c r="B17" s="63" t="s">
        <v>63</v>
      </c>
      <c r="C17" s="40"/>
      <c r="D17" s="40"/>
      <c r="E17" s="52">
        <v>27</v>
      </c>
      <c r="F17" s="41" t="s">
        <v>23</v>
      </c>
    </row>
    <row r="18" spans="2:6" x14ac:dyDescent="0.3">
      <c r="B18" s="51">
        <v>0.5</v>
      </c>
      <c r="C18" s="46" t="s">
        <v>35</v>
      </c>
      <c r="D18" s="46"/>
      <c r="E18" s="46">
        <f>E17*B18</f>
        <v>13.5</v>
      </c>
      <c r="F18" s="49" t="s">
        <v>23</v>
      </c>
    </row>
  </sheetData>
  <mergeCells count="3">
    <mergeCell ref="B2:F2"/>
    <mergeCell ref="H2:L2"/>
    <mergeCell ref="N2:R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4FB6-FC97-4DBF-A171-E3F7DC477EBA}">
  <sheetPr codeName="Blad3"/>
  <dimension ref="B3:R15"/>
  <sheetViews>
    <sheetView workbookViewId="0">
      <selection activeCell="D9" sqref="D9"/>
    </sheetView>
  </sheetViews>
  <sheetFormatPr defaultColWidth="9.140625" defaultRowHeight="15" x14ac:dyDescent="0.25"/>
  <cols>
    <col min="1" max="1" width="9.140625" style="75"/>
    <col min="2" max="2" width="3" style="75" bestFit="1" customWidth="1"/>
    <col min="3" max="3" width="10.85546875" style="75" bestFit="1" customWidth="1"/>
    <col min="4" max="4" width="16.42578125" style="75" bestFit="1" customWidth="1"/>
    <col min="5" max="5" width="15" style="75" bestFit="1" customWidth="1"/>
    <col min="6" max="6" width="12" style="75" bestFit="1" customWidth="1"/>
    <col min="7" max="10" width="9.140625" style="75"/>
    <col min="11" max="11" width="12" style="75" bestFit="1" customWidth="1"/>
    <col min="12" max="16384" width="9.140625" style="75"/>
  </cols>
  <sheetData>
    <row r="3" spans="2:18" ht="18" x14ac:dyDescent="0.35">
      <c r="D3" s="31" t="s">
        <v>0</v>
      </c>
      <c r="E3" s="83" t="s">
        <v>3</v>
      </c>
    </row>
    <row r="4" spans="2:18" x14ac:dyDescent="0.25">
      <c r="D4" s="84" t="s">
        <v>50</v>
      </c>
      <c r="E4" s="82" t="s">
        <v>2</v>
      </c>
    </row>
    <row r="5" spans="2:18" x14ac:dyDescent="0.25">
      <c r="B5" s="77">
        <v>1</v>
      </c>
      <c r="C5" s="78" t="s">
        <v>39</v>
      </c>
      <c r="D5" s="85">
        <v>150</v>
      </c>
      <c r="E5" s="85">
        <v>20</v>
      </c>
    </row>
    <row r="6" spans="2:18" x14ac:dyDescent="0.25">
      <c r="B6" s="79">
        <v>2</v>
      </c>
      <c r="C6" s="75" t="s">
        <v>40</v>
      </c>
      <c r="D6" s="85">
        <v>80</v>
      </c>
      <c r="E6" s="85">
        <v>15</v>
      </c>
      <c r="N6" s="76">
        <v>1</v>
      </c>
      <c r="O6" s="76">
        <f t="shared" ref="O6:O15" si="0">D5</f>
        <v>150</v>
      </c>
      <c r="P6" s="76"/>
      <c r="Q6" s="76">
        <v>1</v>
      </c>
      <c r="R6" s="76">
        <f t="shared" ref="R6:R15" si="1">E5</f>
        <v>20</v>
      </c>
    </row>
    <row r="7" spans="2:18" x14ac:dyDescent="0.25">
      <c r="B7" s="79">
        <v>3</v>
      </c>
      <c r="C7" s="75" t="s">
        <v>40</v>
      </c>
      <c r="D7" s="85">
        <v>60</v>
      </c>
      <c r="E7" s="85">
        <v>12</v>
      </c>
      <c r="N7" s="76">
        <v>2</v>
      </c>
      <c r="O7" s="76">
        <f t="shared" si="0"/>
        <v>80</v>
      </c>
      <c r="P7" s="76"/>
      <c r="Q7" s="76">
        <v>2</v>
      </c>
      <c r="R7" s="76">
        <f t="shared" si="1"/>
        <v>15</v>
      </c>
    </row>
    <row r="8" spans="2:18" x14ac:dyDescent="0.25">
      <c r="B8" s="79">
        <v>4</v>
      </c>
      <c r="C8" s="75" t="s">
        <v>40</v>
      </c>
      <c r="D8" s="85">
        <v>55</v>
      </c>
      <c r="E8" s="85">
        <v>11</v>
      </c>
      <c r="N8" s="76">
        <v>3</v>
      </c>
      <c r="O8" s="76">
        <f t="shared" si="0"/>
        <v>60</v>
      </c>
      <c r="P8" s="76"/>
      <c r="Q8" s="76">
        <v>3</v>
      </c>
      <c r="R8" s="76">
        <f t="shared" si="1"/>
        <v>12</v>
      </c>
    </row>
    <row r="9" spans="2:18" x14ac:dyDescent="0.25">
      <c r="B9" s="79">
        <v>5</v>
      </c>
      <c r="C9" s="75" t="s">
        <v>40</v>
      </c>
      <c r="D9" s="85">
        <v>45</v>
      </c>
      <c r="E9" s="85">
        <v>10</v>
      </c>
      <c r="N9" s="76">
        <v>4</v>
      </c>
      <c r="O9" s="76">
        <f t="shared" si="0"/>
        <v>55</v>
      </c>
      <c r="P9" s="76"/>
      <c r="Q9" s="76">
        <v>4</v>
      </c>
      <c r="R9" s="76">
        <f t="shared" si="1"/>
        <v>11</v>
      </c>
    </row>
    <row r="10" spans="2:18" x14ac:dyDescent="0.25">
      <c r="B10" s="79">
        <v>6</v>
      </c>
      <c r="C10" s="75" t="s">
        <v>40</v>
      </c>
      <c r="D10" s="85">
        <v>32</v>
      </c>
      <c r="E10" s="85">
        <v>9</v>
      </c>
      <c r="N10" s="76">
        <v>5</v>
      </c>
      <c r="O10" s="76">
        <f t="shared" si="0"/>
        <v>45</v>
      </c>
      <c r="P10" s="76"/>
      <c r="Q10" s="76">
        <v>5</v>
      </c>
      <c r="R10" s="76">
        <f t="shared" si="1"/>
        <v>10</v>
      </c>
    </row>
    <row r="11" spans="2:18" x14ac:dyDescent="0.25">
      <c r="B11" s="79">
        <v>7</v>
      </c>
      <c r="C11" s="75" t="s">
        <v>40</v>
      </c>
      <c r="D11" s="85">
        <v>30</v>
      </c>
      <c r="E11" s="85">
        <v>8</v>
      </c>
      <c r="N11" s="76">
        <v>6</v>
      </c>
      <c r="O11" s="76">
        <f t="shared" si="0"/>
        <v>32</v>
      </c>
      <c r="P11" s="76"/>
      <c r="Q11" s="76">
        <v>6</v>
      </c>
      <c r="R11" s="76">
        <f t="shared" si="1"/>
        <v>9</v>
      </c>
    </row>
    <row r="12" spans="2:18" x14ac:dyDescent="0.25">
      <c r="B12" s="79">
        <v>8</v>
      </c>
      <c r="C12" s="75" t="s">
        <v>40</v>
      </c>
      <c r="D12" s="85">
        <v>25</v>
      </c>
      <c r="E12" s="85">
        <v>8</v>
      </c>
      <c r="N12" s="76">
        <v>7</v>
      </c>
      <c r="O12" s="76">
        <f t="shared" si="0"/>
        <v>30</v>
      </c>
      <c r="P12" s="76"/>
      <c r="Q12" s="76">
        <v>7</v>
      </c>
      <c r="R12" s="76">
        <f t="shared" si="1"/>
        <v>8</v>
      </c>
    </row>
    <row r="13" spans="2:18" x14ac:dyDescent="0.25">
      <c r="B13" s="79">
        <v>9</v>
      </c>
      <c r="C13" s="75" t="s">
        <v>40</v>
      </c>
      <c r="D13" s="85">
        <v>22</v>
      </c>
      <c r="E13" s="85">
        <v>8</v>
      </c>
      <c r="N13" s="76">
        <v>8</v>
      </c>
      <c r="O13" s="76">
        <f t="shared" si="0"/>
        <v>25</v>
      </c>
      <c r="P13" s="76"/>
      <c r="Q13" s="76">
        <v>8</v>
      </c>
      <c r="R13" s="76">
        <f t="shared" si="1"/>
        <v>8</v>
      </c>
    </row>
    <row r="14" spans="2:18" x14ac:dyDescent="0.25">
      <c r="B14" s="80">
        <v>10</v>
      </c>
      <c r="C14" s="81" t="s">
        <v>40</v>
      </c>
      <c r="D14" s="85">
        <v>20</v>
      </c>
      <c r="E14" s="85">
        <v>8</v>
      </c>
      <c r="N14" s="76">
        <v>9</v>
      </c>
      <c r="O14" s="76">
        <f t="shared" si="0"/>
        <v>22</v>
      </c>
      <c r="P14" s="76"/>
      <c r="Q14" s="76">
        <v>9</v>
      </c>
      <c r="R14" s="76">
        <f t="shared" si="1"/>
        <v>8</v>
      </c>
    </row>
    <row r="15" spans="2:18" x14ac:dyDescent="0.25">
      <c r="N15" s="76">
        <v>10</v>
      </c>
      <c r="O15" s="76">
        <f t="shared" si="0"/>
        <v>20</v>
      </c>
      <c r="P15" s="76"/>
      <c r="Q15" s="76">
        <v>10</v>
      </c>
      <c r="R15" s="76">
        <f t="shared" si="1"/>
        <v>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7EB4-4E9B-4883-9708-435E17BDD13C}">
  <dimension ref="B3:R17"/>
  <sheetViews>
    <sheetView workbookViewId="0">
      <selection activeCell="E6" sqref="E6"/>
    </sheetView>
  </sheetViews>
  <sheetFormatPr defaultRowHeight="15" x14ac:dyDescent="0.25"/>
  <sheetData>
    <row r="3" spans="2:8" x14ac:dyDescent="0.25">
      <c r="B3" t="s">
        <v>75</v>
      </c>
    </row>
    <row r="4" spans="2:8" x14ac:dyDescent="0.25">
      <c r="B4" t="s">
        <v>115</v>
      </c>
      <c r="E4">
        <v>82</v>
      </c>
      <c r="F4" t="s">
        <v>78</v>
      </c>
      <c r="H4" s="100" t="s">
        <v>111</v>
      </c>
    </row>
    <row r="5" spans="2:8" x14ac:dyDescent="0.25">
      <c r="B5" t="s">
        <v>112</v>
      </c>
      <c r="E5">
        <v>140</v>
      </c>
      <c r="F5" t="s">
        <v>78</v>
      </c>
      <c r="H5" s="100" t="s">
        <v>111</v>
      </c>
    </row>
    <row r="6" spans="2:8" x14ac:dyDescent="0.25">
      <c r="B6" t="s">
        <v>113</v>
      </c>
      <c r="E6">
        <v>155</v>
      </c>
      <c r="F6" t="s">
        <v>78</v>
      </c>
      <c r="H6" s="100" t="s">
        <v>111</v>
      </c>
    </row>
    <row r="7" spans="2:8" x14ac:dyDescent="0.25">
      <c r="B7" t="s">
        <v>122</v>
      </c>
      <c r="E7">
        <v>68</v>
      </c>
      <c r="F7" t="s">
        <v>78</v>
      </c>
      <c r="H7" s="100" t="s">
        <v>111</v>
      </c>
    </row>
    <row r="8" spans="2:8" x14ac:dyDescent="0.25">
      <c r="B8" t="s">
        <v>118</v>
      </c>
      <c r="E8">
        <v>58</v>
      </c>
      <c r="F8" t="s">
        <v>78</v>
      </c>
      <c r="H8" s="100" t="s">
        <v>111</v>
      </c>
    </row>
    <row r="9" spans="2:8" x14ac:dyDescent="0.25">
      <c r="B9" t="s">
        <v>114</v>
      </c>
      <c r="E9">
        <v>349</v>
      </c>
      <c r="F9" t="s">
        <v>78</v>
      </c>
      <c r="H9" s="100" t="s">
        <v>111</v>
      </c>
    </row>
    <row r="10" spans="2:8" x14ac:dyDescent="0.25">
      <c r="B10" t="s">
        <v>76</v>
      </c>
      <c r="E10">
        <v>389</v>
      </c>
      <c r="F10" t="s">
        <v>78</v>
      </c>
      <c r="H10" s="100" t="s">
        <v>111</v>
      </c>
    </row>
    <row r="11" spans="2:8" x14ac:dyDescent="0.25">
      <c r="B11" t="s">
        <v>119</v>
      </c>
      <c r="E11">
        <v>224</v>
      </c>
      <c r="F11" t="s">
        <v>78</v>
      </c>
      <c r="H11" s="100" t="s">
        <v>111</v>
      </c>
    </row>
    <row r="12" spans="2:8" x14ac:dyDescent="0.25">
      <c r="B12" t="s">
        <v>116</v>
      </c>
      <c r="E12">
        <v>55</v>
      </c>
      <c r="F12" t="s">
        <v>78</v>
      </c>
      <c r="H12" s="100" t="s">
        <v>111</v>
      </c>
    </row>
    <row r="13" spans="2:8" x14ac:dyDescent="0.25">
      <c r="B13" t="s">
        <v>107</v>
      </c>
      <c r="E13">
        <v>315</v>
      </c>
      <c r="F13" t="s">
        <v>78</v>
      </c>
      <c r="H13" s="100" t="s">
        <v>108</v>
      </c>
    </row>
    <row r="14" spans="2:8" x14ac:dyDescent="0.25">
      <c r="B14" t="s">
        <v>120</v>
      </c>
      <c r="E14">
        <v>173</v>
      </c>
      <c r="F14" t="s">
        <v>78</v>
      </c>
      <c r="H14" s="100" t="s">
        <v>111</v>
      </c>
    </row>
    <row r="15" spans="2:8" x14ac:dyDescent="0.25">
      <c r="B15" t="s">
        <v>121</v>
      </c>
      <c r="E15">
        <v>166</v>
      </c>
      <c r="F15" t="s">
        <v>78</v>
      </c>
      <c r="H15" s="100" t="s">
        <v>111</v>
      </c>
    </row>
    <row r="16" spans="2:8" x14ac:dyDescent="0.25">
      <c r="B16" t="s">
        <v>117</v>
      </c>
      <c r="E16">
        <v>10</v>
      </c>
      <c r="F16" t="s">
        <v>78</v>
      </c>
      <c r="H16" s="100" t="s">
        <v>111</v>
      </c>
    </row>
    <row r="17" spans="2:18" ht="15.75" x14ac:dyDescent="0.3">
      <c r="B17" t="s">
        <v>77</v>
      </c>
      <c r="E17">
        <v>193</v>
      </c>
      <c r="F17" t="s">
        <v>110</v>
      </c>
      <c r="H17" s="100" t="s">
        <v>80</v>
      </c>
      <c r="R17" s="26" t="s">
        <v>81</v>
      </c>
    </row>
  </sheetData>
  <sortState xmlns:xlrd2="http://schemas.microsoft.com/office/spreadsheetml/2017/richdata2" ref="B4:R17">
    <sortCondition ref="B4:B17"/>
  </sortState>
  <hyperlinks>
    <hyperlink ref="H17" r:id="rId1" xr:uid="{45AD4146-6ED9-4086-A1C5-FF27ADB82B0B}"/>
    <hyperlink ref="H13" r:id="rId2" xr:uid="{ACEE737F-E978-412A-BA45-7BE10B08D57C}"/>
    <hyperlink ref="H5" r:id="rId3" xr:uid="{AE1365E5-0659-42B6-9D0E-859226364CF8}"/>
    <hyperlink ref="H6" r:id="rId4" xr:uid="{E20572AC-0DE9-4F82-9313-A19682E61BA3}"/>
    <hyperlink ref="H9" r:id="rId5" xr:uid="{E42EAD8B-3115-479B-98B0-F1598DA759C1}"/>
    <hyperlink ref="H4" r:id="rId6" xr:uid="{6F119F79-0061-46B1-AE69-F4243246C9C7}"/>
    <hyperlink ref="H12" r:id="rId7" xr:uid="{8A72F66C-1F76-4767-8640-CEE8FDD63D47}"/>
    <hyperlink ref="H16" r:id="rId8" xr:uid="{A1DADF51-1717-4C58-802D-29A8A58EECFD}"/>
    <hyperlink ref="H8" r:id="rId9" xr:uid="{DEE99A6A-00CD-4A8B-A343-9472CA2517C4}"/>
    <hyperlink ref="H11" r:id="rId10" xr:uid="{CBD4288B-5C16-4F88-8396-14295EE3E2A0}"/>
    <hyperlink ref="H14" r:id="rId11" xr:uid="{D57A0006-022B-4F5F-A621-00D9B25750E9}"/>
    <hyperlink ref="H15" r:id="rId12" xr:uid="{CE901733-F9EB-4561-8B99-E290E6B7D8DC}"/>
    <hyperlink ref="H7" r:id="rId13" xr:uid="{310B5D45-49A8-488A-A8E8-FB862883442B}"/>
    <hyperlink ref="H10" r:id="rId14" xr:uid="{115CF946-A70D-43DE-B23E-3EDBF82CCAA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ACD9-75F0-4839-8778-B9639362A55B}">
  <dimension ref="B4:L13"/>
  <sheetViews>
    <sheetView workbookViewId="0">
      <selection activeCell="B10" sqref="B10"/>
    </sheetView>
  </sheetViews>
  <sheetFormatPr defaultRowHeight="15" x14ac:dyDescent="0.25"/>
  <cols>
    <col min="5" max="5" width="12" bestFit="1" customWidth="1"/>
  </cols>
  <sheetData>
    <row r="4" spans="2:12" x14ac:dyDescent="0.25">
      <c r="B4">
        <v>1</v>
      </c>
      <c r="C4" t="s">
        <v>123</v>
      </c>
      <c r="D4">
        <v>30</v>
      </c>
      <c r="E4" t="s">
        <v>124</v>
      </c>
      <c r="G4" t="s">
        <v>125</v>
      </c>
      <c r="H4">
        <v>278</v>
      </c>
      <c r="I4" t="s">
        <v>2</v>
      </c>
    </row>
    <row r="6" spans="2:12" x14ac:dyDescent="0.25">
      <c r="B6" s="128">
        <v>10000</v>
      </c>
      <c r="C6" t="s">
        <v>126</v>
      </c>
      <c r="D6" t="s">
        <v>127</v>
      </c>
      <c r="E6" s="129">
        <f>B6*H4</f>
        <v>2780000</v>
      </c>
      <c r="F6" t="s">
        <v>2</v>
      </c>
    </row>
    <row r="7" spans="2:12" x14ac:dyDescent="0.25">
      <c r="B7" s="128">
        <v>278</v>
      </c>
      <c r="C7" t="s">
        <v>2</v>
      </c>
      <c r="D7" t="s">
        <v>127</v>
      </c>
      <c r="E7" s="129">
        <f>B7/H4</f>
        <v>1</v>
      </c>
      <c r="F7" t="s">
        <v>126</v>
      </c>
    </row>
    <row r="9" spans="2:12" x14ac:dyDescent="0.25">
      <c r="B9" s="128">
        <v>1</v>
      </c>
      <c r="C9" t="s">
        <v>128</v>
      </c>
      <c r="D9" t="s">
        <v>127</v>
      </c>
      <c r="E9">
        <f>B9*K9</f>
        <v>9.2666666666666675</v>
      </c>
      <c r="F9" t="s">
        <v>2</v>
      </c>
      <c r="H9">
        <v>1</v>
      </c>
      <c r="I9" t="s">
        <v>128</v>
      </c>
      <c r="J9" t="s">
        <v>127</v>
      </c>
      <c r="K9">
        <f>H4/D4</f>
        <v>9.2666666666666675</v>
      </c>
      <c r="L9" t="s">
        <v>129</v>
      </c>
    </row>
    <row r="10" spans="2:12" x14ac:dyDescent="0.25">
      <c r="B10" s="128">
        <v>1</v>
      </c>
      <c r="C10" t="s">
        <v>130</v>
      </c>
      <c r="D10" t="s">
        <v>127</v>
      </c>
      <c r="E10">
        <f>D4/H4</f>
        <v>0.1079136690647482</v>
      </c>
      <c r="F10" t="s">
        <v>128</v>
      </c>
    </row>
    <row r="12" spans="2:12" x14ac:dyDescent="0.25">
      <c r="H12">
        <v>1</v>
      </c>
      <c r="I12" t="s">
        <v>2</v>
      </c>
      <c r="J12" t="s">
        <v>131</v>
      </c>
      <c r="K12">
        <v>1.85</v>
      </c>
      <c r="L12" t="s">
        <v>132</v>
      </c>
    </row>
    <row r="13" spans="2:12" x14ac:dyDescent="0.25">
      <c r="H13">
        <v>1</v>
      </c>
      <c r="I13" t="s">
        <v>128</v>
      </c>
      <c r="J13" t="s">
        <v>131</v>
      </c>
      <c r="K13">
        <f>H13*K9*K12</f>
        <v>17.143333333333334</v>
      </c>
      <c r="L1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Compare</vt:lpstr>
      <vt:lpstr>Graph</vt:lpstr>
      <vt:lpstr>CO2 body coffin</vt:lpstr>
      <vt:lpstr>Staffel</vt:lpstr>
      <vt:lpstr>CO2 Emission grid</vt:lpstr>
      <vt:lpstr>GJtokWH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Sjaak Zutt</dc:creator>
  <cp:lastModifiedBy>Dennis Jacobs</cp:lastModifiedBy>
  <dcterms:created xsi:type="dcterms:W3CDTF">2018-05-03T08:59:57Z</dcterms:created>
  <dcterms:modified xsi:type="dcterms:W3CDTF">2023-04-18T08:58:16Z</dcterms:modified>
</cp:coreProperties>
</file>